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codeName="ThisWorkbook"/>
  <mc:AlternateContent xmlns:mc="http://schemas.openxmlformats.org/markup-compatibility/2006">
    <mc:Choice Requires="x15">
      <x15ac:absPath xmlns:x15ac="http://schemas.microsoft.com/office/spreadsheetml/2010/11/ac" url="C:\Users\Pedro Olazábal\Desktop\"/>
    </mc:Choice>
  </mc:AlternateContent>
  <xr:revisionPtr revIDLastSave="0" documentId="13_ncr:1_{8F575D01-4428-4DD9-A6AC-E6E2876D9B53}" xr6:coauthVersionLast="34" xr6:coauthVersionMax="34" xr10:uidLastSave="{00000000-0000-0000-0000-000000000000}"/>
  <bookViews>
    <workbookView xWindow="0" yWindow="0" windowWidth="20490" windowHeight="7545" tabRatio="500" xr2:uid="{00000000-000D-0000-FFFF-FFFF00000000}"/>
  </bookViews>
  <sheets>
    <sheet name="0. Intro" sheetId="1" r:id="rId1"/>
    <sheet name="1. General" sheetId="2" r:id="rId2"/>
    <sheet name="2. Company Facts" sheetId="3" r:id="rId3"/>
    <sheet name="3. Calc" sheetId="4" r:id="rId4"/>
    <sheet name="9. Weighting" sheetId="5" state="hidden" r:id="rId5"/>
    <sheet name="4. ECG-Matrix" sheetId="6" r:id="rId6"/>
    <sheet name="5. Values" sheetId="7" r:id="rId7"/>
    <sheet name="6. Stakeholder" sheetId="8" r:id="rId8"/>
    <sheet name="7. Topics" sheetId="9" r:id="rId9"/>
    <sheet name="8. Descr.Weighting" sheetId="10" r:id="rId10"/>
    <sheet name="10. Industry" sheetId="11" state="hidden" r:id="rId11"/>
    <sheet name="11.Region" sheetId="12" state="hidden" r:id="rId12"/>
    <sheet name="12.ppp data" sheetId="15" state="hidden" r:id="rId13"/>
    <sheet name="12.lan" sheetId="13" state="hidden" r:id="rId14"/>
  </sheets>
  <definedNames>
    <definedName name="__xlfn_IFERROR">#N/A</definedName>
    <definedName name="Branche">'10. Industry'!$B$4:$B$32</definedName>
    <definedName name="Branchen">'10. Industry'!$B$4:$B$32</definedName>
    <definedName name="CountryCodes">'11.Region'!$A$22:$A$243</definedName>
    <definedName name="JaNein">'2. Company Facts'!$D$34:$F$34</definedName>
    <definedName name="Regionen">'11.Region'!$A$21:$A$243</definedName>
  </definedNames>
  <calcPr calcId="179021"/>
</workbook>
</file>

<file path=xl/calcChain.xml><?xml version="1.0" encoding="utf-8"?>
<calcChain xmlns="http://schemas.openxmlformats.org/spreadsheetml/2006/main">
  <c r="K36" i="11" l="1"/>
  <c r="K35" i="11"/>
  <c r="K34" i="11"/>
  <c r="O77" i="4"/>
  <c r="D40" i="4" l="1"/>
  <c r="M3" i="1" l="1"/>
  <c r="M4" i="1"/>
  <c r="M5" i="1"/>
  <c r="M6" i="1"/>
  <c r="M7" i="1"/>
  <c r="M8" i="1"/>
  <c r="M9" i="1"/>
  <c r="M10" i="1"/>
  <c r="M11" i="1"/>
  <c r="M12" i="1"/>
  <c r="M2" i="1"/>
  <c r="D14" i="4" l="1"/>
  <c r="D10" i="4"/>
  <c r="F43" i="3" l="1"/>
  <c r="D7" i="3"/>
  <c r="I44" i="13"/>
  <c r="J44" i="13"/>
  <c r="K44" i="13"/>
  <c r="N18" i="4"/>
  <c r="N11" i="4"/>
  <c r="C2" i="13"/>
  <c r="C1" i="13" s="1"/>
  <c r="D431" i="13" s="1"/>
  <c r="A114" i="12" s="1"/>
  <c r="C4" i="13"/>
  <c r="C5" i="13"/>
  <c r="C6" i="13"/>
  <c r="C7" i="13"/>
  <c r="C8" i="13"/>
  <c r="C9" i="13"/>
  <c r="C10" i="13"/>
  <c r="C11" i="13"/>
  <c r="C12" i="13"/>
  <c r="C3" i="13"/>
  <c r="D237" i="12"/>
  <c r="D236" i="12"/>
  <c r="D235" i="12"/>
  <c r="D234" i="12"/>
  <c r="D233" i="12"/>
  <c r="D232" i="12"/>
  <c r="D231" i="12"/>
  <c r="D230" i="12"/>
  <c r="D229" i="12"/>
  <c r="D228" i="12"/>
  <c r="D227" i="12"/>
  <c r="D226" i="12"/>
  <c r="D225" i="12"/>
  <c r="D224" i="12"/>
  <c r="D223" i="12"/>
  <c r="D222" i="12"/>
  <c r="D221" i="12"/>
  <c r="D220" i="12"/>
  <c r="D219" i="12"/>
  <c r="D218" i="12"/>
  <c r="D217" i="12"/>
  <c r="D216" i="12"/>
  <c r="D215" i="12"/>
  <c r="D214" i="12"/>
  <c r="D213" i="12"/>
  <c r="D212" i="12"/>
  <c r="D211" i="12"/>
  <c r="D210" i="12"/>
  <c r="D209" i="12"/>
  <c r="D208" i="12"/>
  <c r="D207" i="12"/>
  <c r="D206" i="12"/>
  <c r="D205" i="12"/>
  <c r="D204" i="12"/>
  <c r="D203" i="12"/>
  <c r="D202" i="12"/>
  <c r="D201" i="12"/>
  <c r="D200" i="12"/>
  <c r="D199" i="12"/>
  <c r="D198" i="12"/>
  <c r="D197" i="12"/>
  <c r="D196" i="12"/>
  <c r="D195" i="12"/>
  <c r="D194" i="12"/>
  <c r="D193" i="12"/>
  <c r="D192" i="12"/>
  <c r="D191" i="12"/>
  <c r="D190" i="12"/>
  <c r="D189" i="12"/>
  <c r="D188" i="12"/>
  <c r="D187" i="12"/>
  <c r="D186" i="12"/>
  <c r="D185" i="12"/>
  <c r="D184" i="12"/>
  <c r="D183" i="12"/>
  <c r="D182" i="12"/>
  <c r="D181" i="12"/>
  <c r="D180" i="12"/>
  <c r="D179" i="12"/>
  <c r="D178" i="12"/>
  <c r="D177" i="12"/>
  <c r="D176" i="12"/>
  <c r="D175" i="12"/>
  <c r="D174" i="12"/>
  <c r="D173" i="12"/>
  <c r="D172" i="12"/>
  <c r="D171" i="12"/>
  <c r="D170" i="12"/>
  <c r="D169" i="12"/>
  <c r="D168" i="12"/>
  <c r="D167" i="12"/>
  <c r="D166" i="12"/>
  <c r="D165" i="12"/>
  <c r="D164" i="12"/>
  <c r="D163" i="12"/>
  <c r="D162" i="12"/>
  <c r="D161" i="12"/>
  <c r="D160" i="12"/>
  <c r="D159" i="12"/>
  <c r="D158" i="12"/>
  <c r="D157" i="12"/>
  <c r="D156" i="12"/>
  <c r="D155" i="12"/>
  <c r="D154" i="12"/>
  <c r="D153" i="12"/>
  <c r="D152" i="12"/>
  <c r="D151" i="12"/>
  <c r="D150" i="12"/>
  <c r="D149" i="12"/>
  <c r="D148" i="12"/>
  <c r="D147" i="12"/>
  <c r="D146" i="12"/>
  <c r="D145" i="12"/>
  <c r="D144" i="12"/>
  <c r="D143" i="12"/>
  <c r="D142" i="12"/>
  <c r="D141" i="12"/>
  <c r="D140" i="12"/>
  <c r="D139" i="12"/>
  <c r="D138" i="12"/>
  <c r="D137" i="12"/>
  <c r="D136" i="12"/>
  <c r="D135" i="12"/>
  <c r="D134" i="12"/>
  <c r="D133" i="12"/>
  <c r="D132" i="12"/>
  <c r="D131" i="12"/>
  <c r="D130" i="12"/>
  <c r="D129" i="12"/>
  <c r="D128" i="12"/>
  <c r="D127" i="12"/>
  <c r="D126" i="12"/>
  <c r="D125" i="12"/>
  <c r="D124" i="12"/>
  <c r="D123" i="12"/>
  <c r="D122" i="12"/>
  <c r="D121" i="12"/>
  <c r="D120" i="12"/>
  <c r="D119" i="12"/>
  <c r="D118" i="12"/>
  <c r="D117" i="12"/>
  <c r="D116" i="12"/>
  <c r="D115" i="12"/>
  <c r="D114" i="12"/>
  <c r="D113" i="12"/>
  <c r="D112" i="12"/>
  <c r="D111" i="12"/>
  <c r="D110" i="12"/>
  <c r="D109" i="12"/>
  <c r="D108" i="12"/>
  <c r="D107" i="12"/>
  <c r="D106" i="12"/>
  <c r="D105" i="12"/>
  <c r="D104" i="12"/>
  <c r="D103" i="12"/>
  <c r="D102" i="12"/>
  <c r="D101" i="12"/>
  <c r="D100" i="12"/>
  <c r="D99" i="12"/>
  <c r="D98" i="12"/>
  <c r="D97" i="12"/>
  <c r="D96" i="12"/>
  <c r="D95" i="12"/>
  <c r="D94" i="12"/>
  <c r="D93" i="12"/>
  <c r="D92" i="12"/>
  <c r="D91" i="12"/>
  <c r="D90" i="12"/>
  <c r="D89" i="12"/>
  <c r="D88" i="12"/>
  <c r="D87" i="12"/>
  <c r="D86" i="12"/>
  <c r="D85" i="12"/>
  <c r="D84" i="12"/>
  <c r="D83" i="12"/>
  <c r="D82" i="12"/>
  <c r="D81" i="12"/>
  <c r="D80" i="12"/>
  <c r="D79" i="12"/>
  <c r="D78" i="12"/>
  <c r="D77" i="12"/>
  <c r="D76" i="12"/>
  <c r="D75" i="12"/>
  <c r="D74" i="12"/>
  <c r="D73" i="12"/>
  <c r="D72" i="12"/>
  <c r="D71" i="12"/>
  <c r="D70" i="12"/>
  <c r="D69" i="12"/>
  <c r="D68" i="12"/>
  <c r="D67" i="12"/>
  <c r="D66" i="12"/>
  <c r="D65" i="12"/>
  <c r="D64" i="12"/>
  <c r="D63" i="12"/>
  <c r="D62" i="12"/>
  <c r="D61" i="12"/>
  <c r="D60" i="12"/>
  <c r="D59" i="12"/>
  <c r="D58" i="12"/>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H4" i="15"/>
  <c r="H30" i="15"/>
  <c r="H15" i="15"/>
  <c r="H152" i="15"/>
  <c r="H191" i="15"/>
  <c r="H200" i="15"/>
  <c r="H266" i="15"/>
  <c r="H203" i="15"/>
  <c r="H131" i="15"/>
  <c r="H102" i="15"/>
  <c r="H101" i="15"/>
  <c r="H100" i="15"/>
  <c r="H72" i="15"/>
  <c r="H148" i="15"/>
  <c r="H58" i="15"/>
  <c r="H61" i="15"/>
  <c r="H265" i="15"/>
  <c r="H192" i="15"/>
  <c r="H42" i="15"/>
  <c r="H40" i="15"/>
  <c r="H206" i="15"/>
  <c r="H124" i="15"/>
  <c r="H45" i="15"/>
  <c r="H78" i="15"/>
  <c r="H264" i="15"/>
  <c r="H263" i="15"/>
  <c r="H210" i="15"/>
  <c r="H262" i="15"/>
  <c r="H138" i="15"/>
  <c r="H261" i="15"/>
  <c r="H119" i="15"/>
  <c r="H146" i="15"/>
  <c r="H126" i="15"/>
  <c r="H23" i="15"/>
  <c r="H260" i="15"/>
  <c r="H259" i="15"/>
  <c r="H38" i="15"/>
  <c r="H99" i="15"/>
  <c r="H151" i="15"/>
  <c r="H8" i="15"/>
  <c r="H98" i="15"/>
  <c r="H27" i="15"/>
  <c r="H159" i="15"/>
  <c r="H172" i="15"/>
  <c r="H178" i="15"/>
  <c r="H88" i="15"/>
  <c r="H3" i="15"/>
  <c r="H258" i="15"/>
  <c r="H257" i="15"/>
  <c r="H56" i="15"/>
  <c r="H256" i="15"/>
  <c r="H188" i="15"/>
  <c r="H55" i="15"/>
  <c r="H170" i="15"/>
  <c r="H82" i="15"/>
  <c r="H41" i="15"/>
  <c r="H205" i="15"/>
  <c r="H111" i="15"/>
  <c r="H26" i="15"/>
  <c r="H6" i="15"/>
  <c r="H122" i="15"/>
  <c r="H255" i="15"/>
  <c r="H33" i="15"/>
  <c r="H182" i="15"/>
  <c r="H183" i="15"/>
  <c r="H116" i="15"/>
  <c r="H218" i="15"/>
  <c r="H254" i="15"/>
  <c r="H253" i="15"/>
  <c r="H103" i="15"/>
  <c r="H84" i="15"/>
  <c r="H174" i="15"/>
  <c r="H150" i="15"/>
  <c r="H97" i="15"/>
  <c r="H252" i="15"/>
  <c r="H154" i="15"/>
  <c r="H211" i="15"/>
  <c r="H204" i="15"/>
  <c r="H129" i="15"/>
  <c r="H80" i="15"/>
  <c r="H71" i="15"/>
  <c r="H143" i="15"/>
  <c r="H251" i="15"/>
  <c r="H125" i="15"/>
  <c r="H250" i="15"/>
  <c r="H202" i="15"/>
  <c r="H212" i="15"/>
  <c r="H136" i="15"/>
  <c r="H153" i="15"/>
  <c r="H163" i="15"/>
  <c r="H89" i="15"/>
  <c r="H43" i="15"/>
  <c r="H32" i="15"/>
  <c r="H217" i="15"/>
  <c r="H11" i="15"/>
  <c r="H249" i="15"/>
  <c r="H133" i="15"/>
  <c r="H49" i="15"/>
  <c r="H12" i="15"/>
  <c r="H48" i="15"/>
  <c r="H39" i="15"/>
  <c r="H216" i="15"/>
  <c r="H142" i="15"/>
  <c r="H184" i="15"/>
  <c r="H248" i="15"/>
  <c r="H149" i="15"/>
  <c r="H155" i="15"/>
  <c r="H31" i="15"/>
  <c r="H190" i="15"/>
  <c r="H247" i="15"/>
  <c r="H207" i="15"/>
  <c r="H81" i="15"/>
  <c r="H246" i="15"/>
  <c r="H110" i="15"/>
  <c r="H46" i="15"/>
  <c r="H185" i="15"/>
  <c r="H199" i="15"/>
  <c r="H34" i="15"/>
  <c r="H96" i="15"/>
  <c r="H109" i="15"/>
  <c r="H176" i="15"/>
  <c r="H161" i="15"/>
  <c r="H180" i="15"/>
  <c r="H245" i="15"/>
  <c r="H28" i="15"/>
  <c r="H244" i="15"/>
  <c r="H243" i="15"/>
  <c r="H137" i="15"/>
  <c r="H198" i="15"/>
  <c r="H242" i="15"/>
  <c r="H241" i="15"/>
  <c r="H240" i="15"/>
  <c r="H66" i="15"/>
  <c r="H20" i="15"/>
  <c r="H52" i="15"/>
  <c r="H112" i="15"/>
  <c r="H128" i="15"/>
  <c r="H239" i="15"/>
  <c r="H120" i="15"/>
  <c r="H106" i="15"/>
  <c r="H70" i="15"/>
  <c r="H209" i="15"/>
  <c r="H130" i="15"/>
  <c r="H135" i="15"/>
  <c r="H14" i="15"/>
  <c r="H134" i="15"/>
  <c r="H105" i="15"/>
  <c r="H117" i="15"/>
  <c r="H74" i="15"/>
  <c r="H169" i="15"/>
  <c r="H104" i="15"/>
  <c r="H156" i="15"/>
  <c r="H140" i="15"/>
  <c r="H145" i="15"/>
  <c r="H164" i="15"/>
  <c r="H238" i="15"/>
  <c r="H144" i="15"/>
  <c r="H197" i="15"/>
  <c r="H237" i="15"/>
  <c r="H139" i="15"/>
  <c r="H236" i="15"/>
  <c r="H235" i="15"/>
  <c r="H234" i="15"/>
  <c r="H233" i="15"/>
  <c r="H181" i="15"/>
  <c r="H87" i="15"/>
  <c r="H179" i="15"/>
  <c r="H232" i="15"/>
  <c r="H79" i="15"/>
  <c r="H107" i="15"/>
  <c r="H231" i="15"/>
  <c r="H73" i="15"/>
  <c r="H215" i="15"/>
  <c r="H76" i="15"/>
  <c r="H95" i="15"/>
  <c r="H64" i="15"/>
  <c r="H173" i="15"/>
  <c r="H22" i="15"/>
  <c r="H17" i="15"/>
  <c r="H47" i="15"/>
  <c r="H29" i="15"/>
  <c r="H196" i="15"/>
  <c r="H37" i="15"/>
  <c r="H123" i="15"/>
  <c r="H165" i="15"/>
  <c r="H21" i="15"/>
  <c r="H208" i="15"/>
  <c r="H195" i="15"/>
  <c r="H167" i="15"/>
  <c r="H213" i="15"/>
  <c r="H160" i="15"/>
  <c r="H230" i="15"/>
  <c r="H229" i="15"/>
  <c r="H25" i="15"/>
  <c r="H175" i="15"/>
  <c r="H171" i="15"/>
  <c r="H54" i="15"/>
  <c r="H228" i="15"/>
  <c r="H51" i="15"/>
  <c r="H77" i="15"/>
  <c r="H227" i="15"/>
  <c r="H226" i="15"/>
  <c r="H225" i="15"/>
  <c r="H224" i="15"/>
  <c r="H223" i="15"/>
  <c r="H50" i="15"/>
  <c r="H85" i="15"/>
  <c r="H158" i="15"/>
  <c r="H62" i="15"/>
  <c r="H53" i="15"/>
  <c r="H168" i="15"/>
  <c r="H177" i="15"/>
  <c r="H108" i="15"/>
  <c r="H94" i="15"/>
  <c r="H93" i="15"/>
  <c r="H92" i="15"/>
  <c r="H222" i="15"/>
  <c r="H63" i="15"/>
  <c r="H13" i="15"/>
  <c r="H10" i="15"/>
  <c r="H86" i="15"/>
  <c r="H44" i="15"/>
  <c r="H9" i="15"/>
  <c r="H24" i="15"/>
  <c r="H19" i="15"/>
  <c r="H114" i="15"/>
  <c r="H67" i="15"/>
  <c r="H221" i="15"/>
  <c r="H157" i="15"/>
  <c r="H220" i="15"/>
  <c r="H59" i="15"/>
  <c r="H7" i="15"/>
  <c r="H16" i="15"/>
  <c r="H132" i="15"/>
  <c r="H127" i="15"/>
  <c r="H60" i="15"/>
  <c r="H69" i="15"/>
  <c r="H83" i="15"/>
  <c r="H91" i="15"/>
  <c r="H75" i="15"/>
  <c r="H193" i="15"/>
  <c r="H186" i="15"/>
  <c r="H57" i="15"/>
  <c r="H115" i="15"/>
  <c r="H187" i="15"/>
  <c r="H121" i="15"/>
  <c r="H36" i="15"/>
  <c r="H35" i="15"/>
  <c r="H162" i="15"/>
  <c r="H18" i="15"/>
  <c r="H147" i="15"/>
  <c r="H166" i="15"/>
  <c r="H201" i="15"/>
  <c r="H68" i="15"/>
  <c r="H214" i="15"/>
  <c r="H118" i="15"/>
  <c r="H65" i="15"/>
  <c r="H113" i="15"/>
  <c r="H219" i="15"/>
  <c r="H194" i="15"/>
  <c r="H189" i="15"/>
  <c r="H5" i="15"/>
  <c r="H141" i="15"/>
  <c r="H90" i="15"/>
  <c r="G4" i="15"/>
  <c r="G30" i="15"/>
  <c r="I30" i="15" s="1"/>
  <c r="C236" i="12" s="1"/>
  <c r="G15" i="15"/>
  <c r="I15" i="15" s="1"/>
  <c r="C235" i="12" s="1"/>
  <c r="G152" i="15"/>
  <c r="G191" i="15"/>
  <c r="I191" i="15" s="1"/>
  <c r="C233" i="12" s="1"/>
  <c r="G200" i="15"/>
  <c r="I200" i="15" s="1"/>
  <c r="C232" i="12" s="1"/>
  <c r="G266" i="15"/>
  <c r="G203" i="15"/>
  <c r="I203" i="15" s="1"/>
  <c r="C231" i="12" s="1"/>
  <c r="G131" i="15"/>
  <c r="I131" i="15" s="1"/>
  <c r="C230" i="12" s="1"/>
  <c r="G102" i="15"/>
  <c r="G101" i="15"/>
  <c r="G100" i="15"/>
  <c r="G72" i="15"/>
  <c r="I72" i="15" s="1"/>
  <c r="C226" i="12" s="1"/>
  <c r="G148" i="15"/>
  <c r="I148" i="15" s="1"/>
  <c r="C225" i="12" s="1"/>
  <c r="G58" i="15"/>
  <c r="I58" i="15" s="1"/>
  <c r="C224" i="12" s="1"/>
  <c r="G61" i="15"/>
  <c r="I61" i="15" s="1"/>
  <c r="C223" i="12" s="1"/>
  <c r="G265" i="15"/>
  <c r="G192" i="15"/>
  <c r="I192" i="15" s="1"/>
  <c r="C222" i="12" s="1"/>
  <c r="G42" i="15"/>
  <c r="I42" i="15" s="1"/>
  <c r="C221" i="12" s="1"/>
  <c r="G40" i="15"/>
  <c r="I40" i="15" s="1"/>
  <c r="C220" i="12" s="1"/>
  <c r="G206" i="15"/>
  <c r="I206" i="15" s="1"/>
  <c r="C219" i="12" s="1"/>
  <c r="G124" i="15"/>
  <c r="I124" i="15" s="1"/>
  <c r="C218" i="12" s="1"/>
  <c r="G45" i="15"/>
  <c r="I45" i="15" s="1"/>
  <c r="C217" i="12" s="1"/>
  <c r="G78" i="15"/>
  <c r="I78" i="15" s="1"/>
  <c r="C216" i="12" s="1"/>
  <c r="G264" i="15"/>
  <c r="G263" i="15"/>
  <c r="G210" i="15"/>
  <c r="I210" i="15" s="1"/>
  <c r="C215" i="12" s="1"/>
  <c r="G262" i="15"/>
  <c r="G138" i="15"/>
  <c r="I138" i="15" s="1"/>
  <c r="C214" i="12" s="1"/>
  <c r="G261" i="15"/>
  <c r="G119" i="15"/>
  <c r="I119" i="15" s="1"/>
  <c r="C213" i="12" s="1"/>
  <c r="G146" i="15"/>
  <c r="I146" i="15" s="1"/>
  <c r="C212" i="12" s="1"/>
  <c r="G126" i="15"/>
  <c r="I126" i="15" s="1"/>
  <c r="C211" i="12" s="1"/>
  <c r="G23" i="15"/>
  <c r="I23" i="15" s="1"/>
  <c r="C210" i="12" s="1"/>
  <c r="G260" i="15"/>
  <c r="G259" i="15"/>
  <c r="G38" i="15"/>
  <c r="I38" i="15" s="1"/>
  <c r="C209" i="12" s="1"/>
  <c r="G99" i="15"/>
  <c r="G151" i="15"/>
  <c r="G8" i="15"/>
  <c r="I8" i="15" s="1"/>
  <c r="C206" i="12" s="1"/>
  <c r="G98" i="15"/>
  <c r="G27" i="15"/>
  <c r="I27" i="15" s="1"/>
  <c r="C204" i="12" s="1"/>
  <c r="G159" i="15"/>
  <c r="I159" i="15" s="1"/>
  <c r="C203" i="12" s="1"/>
  <c r="G88" i="15"/>
  <c r="I88" i="15" s="1"/>
  <c r="C200" i="12" s="1"/>
  <c r="G3" i="15"/>
  <c r="G258" i="15"/>
  <c r="G257" i="15"/>
  <c r="G56" i="15"/>
  <c r="G256" i="15"/>
  <c r="G188" i="15"/>
  <c r="I188" i="15" s="1"/>
  <c r="C197" i="12" s="1"/>
  <c r="G55" i="15"/>
  <c r="G82" i="15"/>
  <c r="I82" i="15" s="1"/>
  <c r="C194" i="12" s="1"/>
  <c r="G41" i="15"/>
  <c r="I41" i="15" s="1"/>
  <c r="C193" i="12" s="1"/>
  <c r="G205" i="15"/>
  <c r="I205" i="15" s="1"/>
  <c r="C192" i="12" s="1"/>
  <c r="G111" i="15"/>
  <c r="I111" i="15" s="1"/>
  <c r="C191" i="12" s="1"/>
  <c r="G26" i="15"/>
  <c r="I26" i="15" s="1"/>
  <c r="C190" i="12" s="1"/>
  <c r="G6" i="15"/>
  <c r="I6" i="15" s="1"/>
  <c r="C189" i="12" s="1"/>
  <c r="G122" i="15"/>
  <c r="I122" i="15" s="1"/>
  <c r="C188" i="12" s="1"/>
  <c r="G255" i="15"/>
  <c r="G33" i="15"/>
  <c r="I33" i="15" s="1"/>
  <c r="C187" i="12" s="1"/>
  <c r="G182" i="15"/>
  <c r="I182" i="15" s="1"/>
  <c r="C186" i="12" s="1"/>
  <c r="G183" i="15"/>
  <c r="I183" i="15" s="1"/>
  <c r="C185" i="12" s="1"/>
  <c r="G116" i="15"/>
  <c r="I116" i="15" s="1"/>
  <c r="C184" i="12" s="1"/>
  <c r="G218" i="15"/>
  <c r="G254" i="15"/>
  <c r="G253" i="15"/>
  <c r="G103" i="15"/>
  <c r="G84" i="15"/>
  <c r="I84" i="15" s="1"/>
  <c r="C181" i="12" s="1"/>
  <c r="G150" i="15"/>
  <c r="G97" i="15"/>
  <c r="G252" i="15"/>
  <c r="G154" i="15"/>
  <c r="I154" i="15" s="1"/>
  <c r="C177" i="12" s="1"/>
  <c r="G211" i="15"/>
  <c r="I211" i="15" s="1"/>
  <c r="C176" i="12" s="1"/>
  <c r="G204" i="15"/>
  <c r="I204" i="15" s="1"/>
  <c r="C175" i="12" s="1"/>
  <c r="G129" i="15"/>
  <c r="I129" i="15" s="1"/>
  <c r="C174" i="12" s="1"/>
  <c r="G80" i="15"/>
  <c r="I80" i="15" s="1"/>
  <c r="C173" i="12" s="1"/>
  <c r="G71" i="15"/>
  <c r="I71" i="15" s="1"/>
  <c r="C172" i="12" s="1"/>
  <c r="G143" i="15"/>
  <c r="I143" i="15" s="1"/>
  <c r="C171" i="12" s="1"/>
  <c r="G251" i="15"/>
  <c r="G125" i="15"/>
  <c r="I125" i="15" s="1"/>
  <c r="C170" i="12" s="1"/>
  <c r="G250" i="15"/>
  <c r="G202" i="15"/>
  <c r="I202" i="15" s="1"/>
  <c r="C169" i="12" s="1"/>
  <c r="G212" i="15"/>
  <c r="I212" i="15" s="1"/>
  <c r="C168" i="12" s="1"/>
  <c r="G136" i="15"/>
  <c r="I136" i="15" s="1"/>
  <c r="C167" i="12" s="1"/>
  <c r="G153" i="15"/>
  <c r="I153" i="15" s="1"/>
  <c r="C166" i="12" s="1"/>
  <c r="G89" i="15"/>
  <c r="I89" i="15" s="1"/>
  <c r="C164" i="12" s="1"/>
  <c r="G43" i="15"/>
  <c r="I43" i="15" s="1"/>
  <c r="C163" i="12" s="1"/>
  <c r="G32" i="15"/>
  <c r="I32" i="15" s="1"/>
  <c r="C162" i="12" s="1"/>
  <c r="G217" i="15"/>
  <c r="G11" i="15"/>
  <c r="I11" i="15" s="1"/>
  <c r="C160" i="12" s="1"/>
  <c r="G249" i="15"/>
  <c r="G133" i="15"/>
  <c r="I133" i="15" s="1"/>
  <c r="C159" i="12" s="1"/>
  <c r="G49" i="15"/>
  <c r="I49" i="15" s="1"/>
  <c r="C158" i="12" s="1"/>
  <c r="G12" i="15"/>
  <c r="I12" i="15" s="1"/>
  <c r="C157" i="12" s="1"/>
  <c r="G48" i="15"/>
  <c r="I48" i="15" s="1"/>
  <c r="C156" i="12" s="1"/>
  <c r="G39" i="15"/>
  <c r="I39" i="15" s="1"/>
  <c r="C155" i="12" s="1"/>
  <c r="G216" i="15"/>
  <c r="G142" i="15"/>
  <c r="I142" i="15" s="1"/>
  <c r="C153" i="12" s="1"/>
  <c r="G184" i="15"/>
  <c r="I184" i="15" s="1"/>
  <c r="C152" i="12" s="1"/>
  <c r="G248" i="15"/>
  <c r="G149" i="15"/>
  <c r="I149" i="15" s="1"/>
  <c r="C151" i="12" s="1"/>
  <c r="G155" i="15"/>
  <c r="I155" i="15" s="1"/>
  <c r="C150" i="12" s="1"/>
  <c r="G31" i="15"/>
  <c r="I31" i="15" s="1"/>
  <c r="C149" i="12" s="1"/>
  <c r="G190" i="15"/>
  <c r="I190" i="15" s="1"/>
  <c r="C148" i="12" s="1"/>
  <c r="G247" i="15"/>
  <c r="G207" i="15"/>
  <c r="I207" i="15" s="1"/>
  <c r="C147" i="12" s="1"/>
  <c r="G81" i="15"/>
  <c r="I81" i="15" s="1"/>
  <c r="C146" i="12" s="1"/>
  <c r="G246" i="15"/>
  <c r="G110" i="15"/>
  <c r="I110" i="15" s="1"/>
  <c r="C145" i="12" s="1"/>
  <c r="G46" i="15"/>
  <c r="I46" i="15" s="1"/>
  <c r="C144" i="12" s="1"/>
  <c r="G185" i="15"/>
  <c r="I185" i="15" s="1"/>
  <c r="C143" i="12" s="1"/>
  <c r="G34" i="15"/>
  <c r="I34" i="15" s="1"/>
  <c r="C141" i="12" s="1"/>
  <c r="G96" i="15"/>
  <c r="G109" i="15"/>
  <c r="I109" i="15" s="1"/>
  <c r="C139" i="12" s="1"/>
  <c r="G245" i="15"/>
  <c r="G28" i="15"/>
  <c r="I28" i="15" s="1"/>
  <c r="C135" i="12" s="1"/>
  <c r="G244" i="15"/>
  <c r="G243" i="15"/>
  <c r="G137" i="15"/>
  <c r="I137" i="15" s="1"/>
  <c r="C134" i="12" s="1"/>
  <c r="G198" i="15"/>
  <c r="G242" i="15"/>
  <c r="G241" i="15"/>
  <c r="G240" i="15"/>
  <c r="G66" i="15"/>
  <c r="I66" i="15" s="1"/>
  <c r="C132" i="12" s="1"/>
  <c r="G20" i="15"/>
  <c r="I20" i="15" s="1"/>
  <c r="C131" i="12" s="1"/>
  <c r="G52" i="15"/>
  <c r="G112" i="15"/>
  <c r="I112" i="15" s="1"/>
  <c r="C129" i="12" s="1"/>
  <c r="G128" i="15"/>
  <c r="I128" i="15" s="1"/>
  <c r="C128" i="12" s="1"/>
  <c r="G239" i="15"/>
  <c r="G120" i="15"/>
  <c r="I120" i="15" s="1"/>
  <c r="C127" i="12" s="1"/>
  <c r="G106" i="15"/>
  <c r="I106" i="15" s="1"/>
  <c r="C126" i="12" s="1"/>
  <c r="G70" i="15"/>
  <c r="I70" i="15" s="1"/>
  <c r="C125" i="12" s="1"/>
  <c r="G209" i="15"/>
  <c r="I209" i="15" s="1"/>
  <c r="C124" i="12" s="1"/>
  <c r="G130" i="15"/>
  <c r="I130" i="15" s="1"/>
  <c r="C123" i="12" s="1"/>
  <c r="G135" i="15"/>
  <c r="I135" i="15" s="1"/>
  <c r="C122" i="12" s="1"/>
  <c r="G14" i="15"/>
  <c r="I14" i="15" s="1"/>
  <c r="C121" i="12" s="1"/>
  <c r="G134" i="15"/>
  <c r="I134" i="15" s="1"/>
  <c r="C120" i="12" s="1"/>
  <c r="G105" i="15"/>
  <c r="I105" i="15" s="1"/>
  <c r="C119" i="12" s="1"/>
  <c r="G117" i="15"/>
  <c r="I117" i="15" s="1"/>
  <c r="C118" i="12" s="1"/>
  <c r="G74" i="15"/>
  <c r="I74" i="15" s="1"/>
  <c r="C117" i="12" s="1"/>
  <c r="G169" i="15"/>
  <c r="I169" i="15" s="1"/>
  <c r="C116" i="12" s="1"/>
  <c r="G104" i="15"/>
  <c r="I104" i="15" s="1"/>
  <c r="C115" i="12" s="1"/>
  <c r="G156" i="15"/>
  <c r="I156" i="15" s="1"/>
  <c r="C114" i="12" s="1"/>
  <c r="G140" i="15"/>
  <c r="I140" i="15" s="1"/>
  <c r="C113" i="12" s="1"/>
  <c r="G145" i="15"/>
  <c r="I145" i="15" s="1"/>
  <c r="C112" i="12" s="1"/>
  <c r="G238" i="15"/>
  <c r="G144" i="15"/>
  <c r="I144" i="15" s="1"/>
  <c r="C110" i="12" s="1"/>
  <c r="G197" i="15"/>
  <c r="G237" i="15"/>
  <c r="G139" i="15"/>
  <c r="I139" i="15" s="1"/>
  <c r="C108" i="12" s="1"/>
  <c r="G236" i="15"/>
  <c r="G235" i="15"/>
  <c r="G234" i="15"/>
  <c r="G233" i="15"/>
  <c r="G181" i="15"/>
  <c r="I181" i="15" s="1"/>
  <c r="C107" i="12" s="1"/>
  <c r="G87" i="15"/>
  <c r="I87" i="15" s="1"/>
  <c r="C106" i="12" s="1"/>
  <c r="G179" i="15"/>
  <c r="I179" i="15" s="1"/>
  <c r="C105" i="12" s="1"/>
  <c r="G232" i="15"/>
  <c r="G79" i="15"/>
  <c r="I79" i="15" s="1"/>
  <c r="C104" i="12" s="1"/>
  <c r="G107" i="15"/>
  <c r="I107" i="15" s="1"/>
  <c r="C103" i="12" s="1"/>
  <c r="G231" i="15"/>
  <c r="G73" i="15"/>
  <c r="I73" i="15" s="1"/>
  <c r="C102" i="12" s="1"/>
  <c r="G215" i="15"/>
  <c r="G76" i="15"/>
  <c r="I76" i="15" s="1"/>
  <c r="C100" i="12" s="1"/>
  <c r="G95" i="15"/>
  <c r="G64" i="15"/>
  <c r="I64" i="15" s="1"/>
  <c r="C98" i="12" s="1"/>
  <c r="G22" i="15"/>
  <c r="I22" i="15" s="1"/>
  <c r="C96" i="12" s="1"/>
  <c r="G17" i="15"/>
  <c r="I17" i="15" s="1"/>
  <c r="C95" i="12" s="1"/>
  <c r="G47" i="15"/>
  <c r="I47" i="15" s="1"/>
  <c r="C94" i="12" s="1"/>
  <c r="G29" i="15"/>
  <c r="I29" i="15" s="1"/>
  <c r="C93" i="12" s="1"/>
  <c r="G196" i="15"/>
  <c r="G37" i="15"/>
  <c r="I37" i="15" s="1"/>
  <c r="C91" i="12" s="1"/>
  <c r="G123" i="15"/>
  <c r="I123" i="15" s="1"/>
  <c r="C90" i="12" s="1"/>
  <c r="G165" i="15"/>
  <c r="I165" i="15" s="1"/>
  <c r="C89" i="12" s="1"/>
  <c r="G21" i="15"/>
  <c r="I21" i="15" s="1"/>
  <c r="C88" i="12" s="1"/>
  <c r="G208" i="15"/>
  <c r="I208" i="15" s="1"/>
  <c r="C87" i="12" s="1"/>
  <c r="G195" i="15"/>
  <c r="G213" i="15"/>
  <c r="I213" i="15" s="1"/>
  <c r="C84" i="12" s="1"/>
  <c r="G230" i="15"/>
  <c r="G229" i="15"/>
  <c r="G25" i="15"/>
  <c r="I25" i="15" s="1"/>
  <c r="C82" i="12" s="1"/>
  <c r="G171" i="15"/>
  <c r="I171" i="15" s="1"/>
  <c r="C80" i="12" s="1"/>
  <c r="G54" i="15"/>
  <c r="G228" i="15"/>
  <c r="G51" i="15"/>
  <c r="I51" i="15" s="1"/>
  <c r="C78" i="12" s="1"/>
  <c r="G77" i="15"/>
  <c r="I77" i="15" s="1"/>
  <c r="C77" i="12" s="1"/>
  <c r="G227" i="15"/>
  <c r="G226" i="15"/>
  <c r="G225" i="15"/>
  <c r="G224" i="15"/>
  <c r="G223" i="15"/>
  <c r="G50" i="15"/>
  <c r="I50" i="15" s="1"/>
  <c r="C76" i="12" s="1"/>
  <c r="G85" i="15"/>
  <c r="I85" i="15" s="1"/>
  <c r="C75" i="12" s="1"/>
  <c r="G158" i="15"/>
  <c r="I158" i="15" s="1"/>
  <c r="C74" i="12" s="1"/>
  <c r="G62" i="15"/>
  <c r="I62" i="15" s="1"/>
  <c r="C73" i="12" s="1"/>
  <c r="G53" i="15"/>
  <c r="G177" i="15"/>
  <c r="I177" i="15" s="1"/>
  <c r="C70" i="12" s="1"/>
  <c r="G94" i="15"/>
  <c r="G93" i="15"/>
  <c r="G92" i="15"/>
  <c r="G222" i="15"/>
  <c r="G63" i="15"/>
  <c r="I63" i="15" s="1"/>
  <c r="C65" i="12" s="1"/>
  <c r="G13" i="15"/>
  <c r="I13" i="15" s="1"/>
  <c r="C64" i="12" s="1"/>
  <c r="G10" i="15"/>
  <c r="I10" i="15" s="1"/>
  <c r="C63" i="12" s="1"/>
  <c r="G86" i="15"/>
  <c r="I86" i="15" s="1"/>
  <c r="C62" i="12" s="1"/>
  <c r="G44" i="15"/>
  <c r="I44" i="15" s="1"/>
  <c r="C61" i="12" s="1"/>
  <c r="G9" i="15"/>
  <c r="I9" i="15" s="1"/>
  <c r="C60" i="12" s="1"/>
  <c r="G24" i="15"/>
  <c r="I24" i="15" s="1"/>
  <c r="C59" i="12" s="1"/>
  <c r="G19" i="15"/>
  <c r="I19" i="15" s="1"/>
  <c r="C58" i="12" s="1"/>
  <c r="G114" i="15"/>
  <c r="I114" i="15" s="1"/>
  <c r="C57" i="12" s="1"/>
  <c r="G67" i="15"/>
  <c r="I67" i="15" s="1"/>
  <c r="C56" i="12" s="1"/>
  <c r="G221" i="15"/>
  <c r="G157" i="15"/>
  <c r="I157" i="15" s="1"/>
  <c r="C55" i="12" s="1"/>
  <c r="G220" i="15"/>
  <c r="G59" i="15"/>
  <c r="I59" i="15" s="1"/>
  <c r="C54" i="12" s="1"/>
  <c r="G7" i="15"/>
  <c r="I7" i="15" s="1"/>
  <c r="C53" i="12" s="1"/>
  <c r="G16" i="15"/>
  <c r="I16" i="15" s="1"/>
  <c r="C52" i="12" s="1"/>
  <c r="G132" i="15"/>
  <c r="I132" i="15" s="1"/>
  <c r="C51" i="12" s="1"/>
  <c r="G127" i="15"/>
  <c r="I127" i="15" s="1"/>
  <c r="C50" i="12" s="1"/>
  <c r="G60" i="15"/>
  <c r="I60" i="15" s="1"/>
  <c r="C49" i="12" s="1"/>
  <c r="G69" i="15"/>
  <c r="I69" i="15" s="1"/>
  <c r="C48" i="12" s="1"/>
  <c r="G83" i="15"/>
  <c r="I83" i="15" s="1"/>
  <c r="C47" i="12" s="1"/>
  <c r="G91" i="15"/>
  <c r="G75" i="15"/>
  <c r="I75" i="15" s="1"/>
  <c r="C45" i="12" s="1"/>
  <c r="G193" i="15"/>
  <c r="I193" i="15" s="1"/>
  <c r="C44" i="12" s="1"/>
  <c r="G186" i="15"/>
  <c r="I186" i="15" s="1"/>
  <c r="C43" i="12" s="1"/>
  <c r="G57" i="15"/>
  <c r="I57" i="15" s="1"/>
  <c r="C42" i="12" s="1"/>
  <c r="G115" i="15"/>
  <c r="I115" i="15" s="1"/>
  <c r="C41" i="12" s="1"/>
  <c r="G187" i="15"/>
  <c r="I187" i="15" s="1"/>
  <c r="C40" i="12" s="1"/>
  <c r="G121" i="15"/>
  <c r="I121" i="15" s="1"/>
  <c r="C39" i="12" s="1"/>
  <c r="G36" i="15"/>
  <c r="I36" i="15" s="1"/>
  <c r="C38" i="12" s="1"/>
  <c r="G35" i="15"/>
  <c r="I35" i="15" s="1"/>
  <c r="C37" i="12" s="1"/>
  <c r="G18" i="15"/>
  <c r="I18" i="15" s="1"/>
  <c r="C35" i="12" s="1"/>
  <c r="G147" i="15"/>
  <c r="I147" i="15" s="1"/>
  <c r="C34" i="12" s="1"/>
  <c r="G201" i="15"/>
  <c r="I201" i="15" s="1"/>
  <c r="C32" i="12" s="1"/>
  <c r="G68" i="15"/>
  <c r="I68" i="15" s="1"/>
  <c r="C31" i="12" s="1"/>
  <c r="G214" i="15"/>
  <c r="G118" i="15"/>
  <c r="I118" i="15" s="1"/>
  <c r="C29" i="12" s="1"/>
  <c r="G65" i="15"/>
  <c r="I65" i="15" s="1"/>
  <c r="C28" i="12" s="1"/>
  <c r="G113" i="15"/>
  <c r="I113" i="15" s="1"/>
  <c r="C27" i="12" s="1"/>
  <c r="G219" i="15"/>
  <c r="G189" i="15"/>
  <c r="I189" i="15" s="1"/>
  <c r="C25" i="12" s="1"/>
  <c r="G5" i="15"/>
  <c r="G141" i="15"/>
  <c r="I141" i="15" s="1"/>
  <c r="C23" i="12" s="1"/>
  <c r="G90" i="15"/>
  <c r="E172" i="15"/>
  <c r="G172" i="15" s="1"/>
  <c r="I172" i="15" s="1"/>
  <c r="C202" i="12" s="1"/>
  <c r="E178" i="15"/>
  <c r="G178" i="15" s="1"/>
  <c r="I178" i="15" s="1"/>
  <c r="C201" i="12" s="1"/>
  <c r="E184" i="15"/>
  <c r="E170" i="15"/>
  <c r="G170" i="15" s="1"/>
  <c r="I170" i="15" s="1"/>
  <c r="C195" i="12" s="1"/>
  <c r="E174" i="15"/>
  <c r="G174" i="15" s="1"/>
  <c r="I174" i="15" s="1"/>
  <c r="C180" i="12" s="1"/>
  <c r="E163" i="15"/>
  <c r="G163" i="15" s="1"/>
  <c r="I163" i="15" s="1"/>
  <c r="C165" i="12" s="1"/>
  <c r="E199" i="15"/>
  <c r="G199" i="15" s="1"/>
  <c r="E180" i="15"/>
  <c r="G180" i="15" s="1"/>
  <c r="I180" i="15" s="1"/>
  <c r="C136" i="12" s="1"/>
  <c r="E176" i="15"/>
  <c r="G176" i="15" s="1"/>
  <c r="I176" i="15" s="1"/>
  <c r="C138" i="12" s="1"/>
  <c r="E161" i="15"/>
  <c r="G161" i="15" s="1"/>
  <c r="I161" i="15" s="1"/>
  <c r="C137" i="12" s="1"/>
  <c r="E169" i="15"/>
  <c r="E164" i="15"/>
  <c r="G164" i="15" s="1"/>
  <c r="I164" i="15" s="1"/>
  <c r="C111" i="12" s="1"/>
  <c r="E173" i="15"/>
  <c r="G173" i="15" s="1"/>
  <c r="I173" i="15" s="1"/>
  <c r="C97" i="12" s="1"/>
  <c r="E167" i="15"/>
  <c r="G167" i="15" s="1"/>
  <c r="I167" i="15" s="1"/>
  <c r="C85" i="12" s="1"/>
  <c r="E160" i="15"/>
  <c r="G160" i="15" s="1"/>
  <c r="I160" i="15" s="1"/>
  <c r="C83" i="12" s="1"/>
  <c r="E175" i="15"/>
  <c r="G175" i="15" s="1"/>
  <c r="I175" i="15" s="1"/>
  <c r="C81" i="12" s="1"/>
  <c r="E171" i="15"/>
  <c r="E168" i="15"/>
  <c r="G168" i="15" s="1"/>
  <c r="I168" i="15" s="1"/>
  <c r="C71" i="12" s="1"/>
  <c r="E108" i="15"/>
  <c r="G108" i="15" s="1"/>
  <c r="I108" i="15" s="1"/>
  <c r="C69" i="12" s="1"/>
  <c r="E194" i="15"/>
  <c r="G194" i="15" s="1"/>
  <c r="E162" i="15"/>
  <c r="G162" i="15" s="1"/>
  <c r="I162" i="15" s="1"/>
  <c r="C36" i="12" s="1"/>
  <c r="E166" i="15"/>
  <c r="G166" i="15" s="1"/>
  <c r="I166" i="15" s="1"/>
  <c r="C33" i="12" s="1"/>
  <c r="D57" i="4"/>
  <c r="M57" i="4"/>
  <c r="D56" i="4"/>
  <c r="M561" i="13"/>
  <c r="M560" i="13"/>
  <c r="K560" i="13"/>
  <c r="J560" i="13"/>
  <c r="M559" i="13"/>
  <c r="K559" i="13"/>
  <c r="J559" i="13"/>
  <c r="M558" i="13"/>
  <c r="K558" i="13"/>
  <c r="J558" i="13"/>
  <c r="M557" i="13"/>
  <c r="K557" i="13"/>
  <c r="J557" i="13"/>
  <c r="M556" i="13"/>
  <c r="K556" i="13"/>
  <c r="J556" i="13"/>
  <c r="M555" i="13"/>
  <c r="K555" i="13"/>
  <c r="J555" i="13"/>
  <c r="M554" i="13"/>
  <c r="K554" i="13"/>
  <c r="J554" i="13"/>
  <c r="M553" i="13"/>
  <c r="K553" i="13"/>
  <c r="J553" i="13"/>
  <c r="M552" i="13"/>
  <c r="K552" i="13"/>
  <c r="J552" i="13"/>
  <c r="M551" i="13"/>
  <c r="K551" i="13"/>
  <c r="J551" i="13"/>
  <c r="M550" i="13"/>
  <c r="K550" i="13"/>
  <c r="J550" i="13"/>
  <c r="M549" i="13"/>
  <c r="K549" i="13"/>
  <c r="J549" i="13"/>
  <c r="M548" i="13"/>
  <c r="K548" i="13"/>
  <c r="J548" i="13"/>
  <c r="M547" i="13"/>
  <c r="K547" i="13"/>
  <c r="J547" i="13"/>
  <c r="M546" i="13"/>
  <c r="K546" i="13"/>
  <c r="J546" i="13"/>
  <c r="M545" i="13"/>
  <c r="K545" i="13"/>
  <c r="J545" i="13"/>
  <c r="M544" i="13"/>
  <c r="K544" i="13"/>
  <c r="J544" i="13"/>
  <c r="M543" i="13"/>
  <c r="K543" i="13"/>
  <c r="J543" i="13"/>
  <c r="M542" i="13"/>
  <c r="K542" i="13"/>
  <c r="J542" i="13"/>
  <c r="M541" i="13"/>
  <c r="K541" i="13"/>
  <c r="J541" i="13"/>
  <c r="M540" i="13"/>
  <c r="K540" i="13"/>
  <c r="J540" i="13"/>
  <c r="M539" i="13"/>
  <c r="K539" i="13"/>
  <c r="J539" i="13"/>
  <c r="M538" i="13"/>
  <c r="K538" i="13"/>
  <c r="J538" i="13"/>
  <c r="M537" i="13"/>
  <c r="K537" i="13"/>
  <c r="J537" i="13"/>
  <c r="M536" i="13"/>
  <c r="K536" i="13"/>
  <c r="J536" i="13"/>
  <c r="M535" i="13"/>
  <c r="K535" i="13"/>
  <c r="J535" i="13"/>
  <c r="M534" i="13"/>
  <c r="K534" i="13"/>
  <c r="J534" i="13"/>
  <c r="M533" i="13"/>
  <c r="K533" i="13"/>
  <c r="J533" i="13"/>
  <c r="M532" i="13"/>
  <c r="K532" i="13"/>
  <c r="J532" i="13"/>
  <c r="M531" i="13"/>
  <c r="K531" i="13"/>
  <c r="J531" i="13"/>
  <c r="M530" i="13"/>
  <c r="K530" i="13"/>
  <c r="J530" i="13"/>
  <c r="M529" i="13"/>
  <c r="K529" i="13"/>
  <c r="J529" i="13"/>
  <c r="M528" i="13"/>
  <c r="K528" i="13"/>
  <c r="J528" i="13"/>
  <c r="M527" i="13"/>
  <c r="K527" i="13"/>
  <c r="J527" i="13"/>
  <c r="M526" i="13"/>
  <c r="K526" i="13"/>
  <c r="J526" i="13"/>
  <c r="M525" i="13"/>
  <c r="K525" i="13"/>
  <c r="J525" i="13"/>
  <c r="M524" i="13"/>
  <c r="K524" i="13"/>
  <c r="J524" i="13"/>
  <c r="M523" i="13"/>
  <c r="K523" i="13"/>
  <c r="J523" i="13"/>
  <c r="M522" i="13"/>
  <c r="K522" i="13"/>
  <c r="J522" i="13"/>
  <c r="M521" i="13"/>
  <c r="K521" i="13"/>
  <c r="J521" i="13"/>
  <c r="M520" i="13"/>
  <c r="K520" i="13"/>
  <c r="J520" i="13"/>
  <c r="M519" i="13"/>
  <c r="K519" i="13"/>
  <c r="J519" i="13"/>
  <c r="M518" i="13"/>
  <c r="K518" i="13"/>
  <c r="J518" i="13"/>
  <c r="M517" i="13"/>
  <c r="K517" i="13"/>
  <c r="J517" i="13"/>
  <c r="M516" i="13"/>
  <c r="K516" i="13"/>
  <c r="J516" i="13"/>
  <c r="M515" i="13"/>
  <c r="K515" i="13"/>
  <c r="J515" i="13"/>
  <c r="M514" i="13"/>
  <c r="K514" i="13"/>
  <c r="J514" i="13"/>
  <c r="M513" i="13"/>
  <c r="K513" i="13"/>
  <c r="J513" i="13"/>
  <c r="M512" i="13"/>
  <c r="K512" i="13"/>
  <c r="J512" i="13"/>
  <c r="M511" i="13"/>
  <c r="K511" i="13"/>
  <c r="J511" i="13"/>
  <c r="M510" i="13"/>
  <c r="K510" i="13"/>
  <c r="J510" i="13"/>
  <c r="M509" i="13"/>
  <c r="K509" i="13"/>
  <c r="J509" i="13"/>
  <c r="M508" i="13"/>
  <c r="K508" i="13"/>
  <c r="J508" i="13"/>
  <c r="M507" i="13"/>
  <c r="K507" i="13"/>
  <c r="J507" i="13"/>
  <c r="M506" i="13"/>
  <c r="K506" i="13"/>
  <c r="J506" i="13"/>
  <c r="M505" i="13"/>
  <c r="K505" i="13"/>
  <c r="J505" i="13"/>
  <c r="M504" i="13"/>
  <c r="K504" i="13"/>
  <c r="J504" i="13"/>
  <c r="M503" i="13"/>
  <c r="K503" i="13"/>
  <c r="J503" i="13"/>
  <c r="M502" i="13"/>
  <c r="K502" i="13"/>
  <c r="J502" i="13"/>
  <c r="M501" i="13"/>
  <c r="K501" i="13"/>
  <c r="J501" i="13"/>
  <c r="M500" i="13"/>
  <c r="K500" i="13"/>
  <c r="J500" i="13"/>
  <c r="M499" i="13"/>
  <c r="K499" i="13"/>
  <c r="J499" i="13"/>
  <c r="M498" i="13"/>
  <c r="K498" i="13"/>
  <c r="J498" i="13"/>
  <c r="M497" i="13"/>
  <c r="K497" i="13"/>
  <c r="J497" i="13"/>
  <c r="M496" i="13"/>
  <c r="K496" i="13"/>
  <c r="J496" i="13"/>
  <c r="M495" i="13"/>
  <c r="K495" i="13"/>
  <c r="J495" i="13"/>
  <c r="M494" i="13"/>
  <c r="K494" i="13"/>
  <c r="J494" i="13"/>
  <c r="M493" i="13"/>
  <c r="K493" i="13"/>
  <c r="J493" i="13"/>
  <c r="M492" i="13"/>
  <c r="K492" i="13"/>
  <c r="J492" i="13"/>
  <c r="M491" i="13"/>
  <c r="K491" i="13"/>
  <c r="J491" i="13"/>
  <c r="M490" i="13"/>
  <c r="K490" i="13"/>
  <c r="J490" i="13"/>
  <c r="M489" i="13"/>
  <c r="K489" i="13"/>
  <c r="J489" i="13"/>
  <c r="M488" i="13"/>
  <c r="K488" i="13"/>
  <c r="J488" i="13"/>
  <c r="M487" i="13"/>
  <c r="K487" i="13"/>
  <c r="J487" i="13"/>
  <c r="M486" i="13"/>
  <c r="K486" i="13"/>
  <c r="J486" i="13"/>
  <c r="M485" i="13"/>
  <c r="K485" i="13"/>
  <c r="J485" i="13"/>
  <c r="M484" i="13"/>
  <c r="K484" i="13"/>
  <c r="J484" i="13"/>
  <c r="M483" i="13"/>
  <c r="K483" i="13"/>
  <c r="J483" i="13"/>
  <c r="M482" i="13"/>
  <c r="K482" i="13"/>
  <c r="J482" i="13"/>
  <c r="M481" i="13"/>
  <c r="K481" i="13"/>
  <c r="J481" i="13"/>
  <c r="M480" i="13"/>
  <c r="K480" i="13"/>
  <c r="J480" i="13"/>
  <c r="M479" i="13"/>
  <c r="K479" i="13"/>
  <c r="J479" i="13"/>
  <c r="M478" i="13"/>
  <c r="K478" i="13"/>
  <c r="J478" i="13"/>
  <c r="M477" i="13"/>
  <c r="K477" i="13"/>
  <c r="J477" i="13"/>
  <c r="M476" i="13"/>
  <c r="K476" i="13"/>
  <c r="J476" i="13"/>
  <c r="M475" i="13"/>
  <c r="K475" i="13"/>
  <c r="J475" i="13"/>
  <c r="M474" i="13"/>
  <c r="K474" i="13"/>
  <c r="J474" i="13"/>
  <c r="M473" i="13"/>
  <c r="K473" i="13"/>
  <c r="J473" i="13"/>
  <c r="M472" i="13"/>
  <c r="K472" i="13"/>
  <c r="J472" i="13"/>
  <c r="M471" i="13"/>
  <c r="K471" i="13"/>
  <c r="J471" i="13"/>
  <c r="M470" i="13"/>
  <c r="K470" i="13"/>
  <c r="J470" i="13"/>
  <c r="M469" i="13"/>
  <c r="K469" i="13"/>
  <c r="J469" i="13"/>
  <c r="M468" i="13"/>
  <c r="K468" i="13"/>
  <c r="J468" i="13"/>
  <c r="M467" i="13"/>
  <c r="K467" i="13"/>
  <c r="J467" i="13"/>
  <c r="M466" i="13"/>
  <c r="K466" i="13"/>
  <c r="J466" i="13"/>
  <c r="M465" i="13"/>
  <c r="K465" i="13"/>
  <c r="J465" i="13"/>
  <c r="M464" i="13"/>
  <c r="K464" i="13"/>
  <c r="J464" i="13"/>
  <c r="M463" i="13"/>
  <c r="K463" i="13"/>
  <c r="J463" i="13"/>
  <c r="M462" i="13"/>
  <c r="K462" i="13"/>
  <c r="J462" i="13"/>
  <c r="M461" i="13"/>
  <c r="K461" i="13"/>
  <c r="J461" i="13"/>
  <c r="M460" i="13"/>
  <c r="K460" i="13"/>
  <c r="J460" i="13"/>
  <c r="M459" i="13"/>
  <c r="K459" i="13"/>
  <c r="J459" i="13"/>
  <c r="M458" i="13"/>
  <c r="K458" i="13"/>
  <c r="J458" i="13"/>
  <c r="M457" i="13"/>
  <c r="K457" i="13"/>
  <c r="J457" i="13"/>
  <c r="M456" i="13"/>
  <c r="K456" i="13"/>
  <c r="J456" i="13"/>
  <c r="M455" i="13"/>
  <c r="K455" i="13"/>
  <c r="J455" i="13"/>
  <c r="M454" i="13"/>
  <c r="K454" i="13"/>
  <c r="J454" i="13"/>
  <c r="M453" i="13"/>
  <c r="K453" i="13"/>
  <c r="J453" i="13"/>
  <c r="M452" i="13"/>
  <c r="K452" i="13"/>
  <c r="J452" i="13"/>
  <c r="M451" i="13"/>
  <c r="K451" i="13"/>
  <c r="J451" i="13"/>
  <c r="M450" i="13"/>
  <c r="K450" i="13"/>
  <c r="J450" i="13"/>
  <c r="M449" i="13"/>
  <c r="K449" i="13"/>
  <c r="J449" i="13"/>
  <c r="M448" i="13"/>
  <c r="K448" i="13"/>
  <c r="J448" i="13"/>
  <c r="M447" i="13"/>
  <c r="K447" i="13"/>
  <c r="J447" i="13"/>
  <c r="M446" i="13"/>
  <c r="K446" i="13"/>
  <c r="J446" i="13"/>
  <c r="M445" i="13"/>
  <c r="K445" i="13"/>
  <c r="J445" i="13"/>
  <c r="M444" i="13"/>
  <c r="K444" i="13"/>
  <c r="J444" i="13"/>
  <c r="M443" i="13"/>
  <c r="K443" i="13"/>
  <c r="J443" i="13"/>
  <c r="M442" i="13"/>
  <c r="K442" i="13"/>
  <c r="J442" i="13"/>
  <c r="M441" i="13"/>
  <c r="K441" i="13"/>
  <c r="J441" i="13"/>
  <c r="M440" i="13"/>
  <c r="K440" i="13"/>
  <c r="J440" i="13"/>
  <c r="M439" i="13"/>
  <c r="K439" i="13"/>
  <c r="J439" i="13"/>
  <c r="M438" i="13"/>
  <c r="K438" i="13"/>
  <c r="J438" i="13"/>
  <c r="M437" i="13"/>
  <c r="K437" i="13"/>
  <c r="J437" i="13"/>
  <c r="M436" i="13"/>
  <c r="K436" i="13"/>
  <c r="J436" i="13"/>
  <c r="M435" i="13"/>
  <c r="K435" i="13"/>
  <c r="J435" i="13"/>
  <c r="M434" i="13"/>
  <c r="K434" i="13"/>
  <c r="J434" i="13"/>
  <c r="M433" i="13"/>
  <c r="K433" i="13"/>
  <c r="J433" i="13"/>
  <c r="M432" i="13"/>
  <c r="K432" i="13"/>
  <c r="J432" i="13"/>
  <c r="M431" i="13"/>
  <c r="K431" i="13"/>
  <c r="J431" i="13"/>
  <c r="M430" i="13"/>
  <c r="K430" i="13"/>
  <c r="J430" i="13"/>
  <c r="M429" i="13"/>
  <c r="K429" i="13"/>
  <c r="J429" i="13"/>
  <c r="M428" i="13"/>
  <c r="K428" i="13"/>
  <c r="J428" i="13"/>
  <c r="M427" i="13"/>
  <c r="K427" i="13"/>
  <c r="J427" i="13"/>
  <c r="M426" i="13"/>
  <c r="K426" i="13"/>
  <c r="J426" i="13"/>
  <c r="M425" i="13"/>
  <c r="K425" i="13"/>
  <c r="J425" i="13"/>
  <c r="M424" i="13"/>
  <c r="K424" i="13"/>
  <c r="J424" i="13"/>
  <c r="M423" i="13"/>
  <c r="K423" i="13"/>
  <c r="J423" i="13"/>
  <c r="M422" i="13"/>
  <c r="K422" i="13"/>
  <c r="J422" i="13"/>
  <c r="M421" i="13"/>
  <c r="K421" i="13"/>
  <c r="J421" i="13"/>
  <c r="M420" i="13"/>
  <c r="K420" i="13"/>
  <c r="J420" i="13"/>
  <c r="M419" i="13"/>
  <c r="K419" i="13"/>
  <c r="J419" i="13"/>
  <c r="M418" i="13"/>
  <c r="K418" i="13"/>
  <c r="J418" i="13"/>
  <c r="M417" i="13"/>
  <c r="K417" i="13"/>
  <c r="J417" i="13"/>
  <c r="M416" i="13"/>
  <c r="K416" i="13"/>
  <c r="J416" i="13"/>
  <c r="M415" i="13"/>
  <c r="K415" i="13"/>
  <c r="J415" i="13"/>
  <c r="M414" i="13"/>
  <c r="K414" i="13"/>
  <c r="J414" i="13"/>
  <c r="M413" i="13"/>
  <c r="K413" i="13"/>
  <c r="J413" i="13"/>
  <c r="M412" i="13"/>
  <c r="K412" i="13"/>
  <c r="J412" i="13"/>
  <c r="M411" i="13"/>
  <c r="K411" i="13"/>
  <c r="J411" i="13"/>
  <c r="M410" i="13"/>
  <c r="K410" i="13"/>
  <c r="J410" i="13"/>
  <c r="M409" i="13"/>
  <c r="K409" i="13"/>
  <c r="J409" i="13"/>
  <c r="M408" i="13"/>
  <c r="K408" i="13"/>
  <c r="J408" i="13"/>
  <c r="M407" i="13"/>
  <c r="K407" i="13"/>
  <c r="J407" i="13"/>
  <c r="M406" i="13"/>
  <c r="K406" i="13"/>
  <c r="J406" i="13"/>
  <c r="M405" i="13"/>
  <c r="K405" i="13"/>
  <c r="J405" i="13"/>
  <c r="M404" i="13"/>
  <c r="K404" i="13"/>
  <c r="J404" i="13"/>
  <c r="M403" i="13"/>
  <c r="K403" i="13"/>
  <c r="J403" i="13"/>
  <c r="M402" i="13"/>
  <c r="K402" i="13"/>
  <c r="J402" i="13"/>
  <c r="M401" i="13"/>
  <c r="K401" i="13"/>
  <c r="J401" i="13"/>
  <c r="M400" i="13"/>
  <c r="K400" i="13"/>
  <c r="J400" i="13"/>
  <c r="M399" i="13"/>
  <c r="K399" i="13"/>
  <c r="J399" i="13"/>
  <c r="M398" i="13"/>
  <c r="K398" i="13"/>
  <c r="J398" i="13"/>
  <c r="M397" i="13"/>
  <c r="K397" i="13"/>
  <c r="J397" i="13"/>
  <c r="M396" i="13"/>
  <c r="K396" i="13"/>
  <c r="J396" i="13"/>
  <c r="M395" i="13"/>
  <c r="K395" i="13"/>
  <c r="J395" i="13"/>
  <c r="M394" i="13"/>
  <c r="K394" i="13"/>
  <c r="J394" i="13"/>
  <c r="M393" i="13"/>
  <c r="K393" i="13"/>
  <c r="J393" i="13"/>
  <c r="M392" i="13"/>
  <c r="K392" i="13"/>
  <c r="J392" i="13"/>
  <c r="M391" i="13"/>
  <c r="K391" i="13"/>
  <c r="J391" i="13"/>
  <c r="M390" i="13"/>
  <c r="K390" i="13"/>
  <c r="J390" i="13"/>
  <c r="M389" i="13"/>
  <c r="K389" i="13"/>
  <c r="J389" i="13"/>
  <c r="M388" i="13"/>
  <c r="K388" i="13"/>
  <c r="J388" i="13"/>
  <c r="M387" i="13"/>
  <c r="K387" i="13"/>
  <c r="J387" i="13"/>
  <c r="M386" i="13"/>
  <c r="K386" i="13"/>
  <c r="J386" i="13"/>
  <c r="M385" i="13"/>
  <c r="K385" i="13"/>
  <c r="J385" i="13"/>
  <c r="M384" i="13"/>
  <c r="K384" i="13"/>
  <c r="J384" i="13"/>
  <c r="M383" i="13"/>
  <c r="K383" i="13"/>
  <c r="J383" i="13"/>
  <c r="M382" i="13"/>
  <c r="K382" i="13"/>
  <c r="J382" i="13"/>
  <c r="M381" i="13"/>
  <c r="K381" i="13"/>
  <c r="J381" i="13"/>
  <c r="M380" i="13"/>
  <c r="K380" i="13"/>
  <c r="J380" i="13"/>
  <c r="M379" i="13"/>
  <c r="K379" i="13"/>
  <c r="J379" i="13"/>
  <c r="M378" i="13"/>
  <c r="K378" i="13"/>
  <c r="J378" i="13"/>
  <c r="M377" i="13"/>
  <c r="K377" i="13"/>
  <c r="J377" i="13"/>
  <c r="M376" i="13"/>
  <c r="K376" i="13"/>
  <c r="J376" i="13"/>
  <c r="M375" i="13"/>
  <c r="K375" i="13"/>
  <c r="J375" i="13"/>
  <c r="M374" i="13"/>
  <c r="K374" i="13"/>
  <c r="J374" i="13"/>
  <c r="M373" i="13"/>
  <c r="K373" i="13"/>
  <c r="J373" i="13"/>
  <c r="M372" i="13"/>
  <c r="K372" i="13"/>
  <c r="J372" i="13"/>
  <c r="M371" i="13"/>
  <c r="K371" i="13"/>
  <c r="J371" i="13"/>
  <c r="M370" i="13"/>
  <c r="K370" i="13"/>
  <c r="J370" i="13"/>
  <c r="M369" i="13"/>
  <c r="K369" i="13"/>
  <c r="J369" i="13"/>
  <c r="M368" i="13"/>
  <c r="K368" i="13"/>
  <c r="J368" i="13"/>
  <c r="M367" i="13"/>
  <c r="K367" i="13"/>
  <c r="J367" i="13"/>
  <c r="M366" i="13"/>
  <c r="K366" i="13"/>
  <c r="J366" i="13"/>
  <c r="M365" i="13"/>
  <c r="K365" i="13"/>
  <c r="J365" i="13"/>
  <c r="M364" i="13"/>
  <c r="K364" i="13"/>
  <c r="J364" i="13"/>
  <c r="M363" i="13"/>
  <c r="K363" i="13"/>
  <c r="J363" i="13"/>
  <c r="M362" i="13"/>
  <c r="K362" i="13"/>
  <c r="J362" i="13"/>
  <c r="M361" i="13"/>
  <c r="K361" i="13"/>
  <c r="J361" i="13"/>
  <c r="M360" i="13"/>
  <c r="K360" i="13"/>
  <c r="J360" i="13"/>
  <c r="M359" i="13"/>
  <c r="K359" i="13"/>
  <c r="J359" i="13"/>
  <c r="M358" i="13"/>
  <c r="K358" i="13"/>
  <c r="J358" i="13"/>
  <c r="M357" i="13"/>
  <c r="K357" i="13"/>
  <c r="J357" i="13"/>
  <c r="M356" i="13"/>
  <c r="K356" i="13"/>
  <c r="J356" i="13"/>
  <c r="M355" i="13"/>
  <c r="K355" i="13"/>
  <c r="J355" i="13"/>
  <c r="M354" i="13"/>
  <c r="K354" i="13"/>
  <c r="J354" i="13"/>
  <c r="M353" i="13"/>
  <c r="K353" i="13"/>
  <c r="J353" i="13"/>
  <c r="M352" i="13"/>
  <c r="K352" i="13"/>
  <c r="J352" i="13"/>
  <c r="M351" i="13"/>
  <c r="K351" i="13"/>
  <c r="J351" i="13"/>
  <c r="M350" i="13"/>
  <c r="K350" i="13"/>
  <c r="J350" i="13"/>
  <c r="M349" i="13"/>
  <c r="K349" i="13"/>
  <c r="J349" i="13"/>
  <c r="M348" i="13"/>
  <c r="K348" i="13"/>
  <c r="J348" i="13"/>
  <c r="M347" i="13"/>
  <c r="K347" i="13"/>
  <c r="J347" i="13"/>
  <c r="M346" i="13"/>
  <c r="K346" i="13"/>
  <c r="J346" i="13"/>
  <c r="M345" i="13"/>
  <c r="K345" i="13"/>
  <c r="J345" i="13"/>
  <c r="M344" i="13"/>
  <c r="K344" i="13"/>
  <c r="J344" i="13"/>
  <c r="M343" i="13"/>
  <c r="K343" i="13"/>
  <c r="J343" i="13"/>
  <c r="M342" i="13"/>
  <c r="K342" i="13"/>
  <c r="J342" i="13"/>
  <c r="M341" i="13"/>
  <c r="K341" i="13"/>
  <c r="J341" i="13"/>
  <c r="M340" i="13"/>
  <c r="K340" i="13"/>
  <c r="J340" i="13"/>
  <c r="M339" i="13"/>
  <c r="K339" i="13"/>
  <c r="J339" i="13"/>
  <c r="K338" i="13"/>
  <c r="J338" i="13"/>
  <c r="I338" i="13"/>
  <c r="G338" i="13"/>
  <c r="K337" i="13"/>
  <c r="J337" i="13"/>
  <c r="I337" i="13"/>
  <c r="G337" i="13"/>
  <c r="K336" i="13"/>
  <c r="J336" i="13"/>
  <c r="I336" i="13"/>
  <c r="G336" i="13"/>
  <c r="K335" i="13"/>
  <c r="J335" i="13"/>
  <c r="I335" i="13"/>
  <c r="G335" i="13"/>
  <c r="K334" i="13"/>
  <c r="J334" i="13"/>
  <c r="I334" i="13"/>
  <c r="G334" i="13"/>
  <c r="K333" i="13"/>
  <c r="J333" i="13"/>
  <c r="I333" i="13"/>
  <c r="G333" i="13"/>
  <c r="K332" i="13"/>
  <c r="J332" i="13"/>
  <c r="I332" i="13"/>
  <c r="K331" i="13"/>
  <c r="J331" i="13"/>
  <c r="I331" i="13"/>
  <c r="G331" i="13"/>
  <c r="K330" i="13"/>
  <c r="J330" i="13"/>
  <c r="I330" i="13"/>
  <c r="K329" i="13"/>
  <c r="J329" i="13"/>
  <c r="I329" i="13"/>
  <c r="K328" i="13"/>
  <c r="J328" i="13"/>
  <c r="I328" i="13"/>
  <c r="G328" i="13"/>
  <c r="K327" i="13"/>
  <c r="J327" i="13"/>
  <c r="I327" i="13"/>
  <c r="K326" i="13"/>
  <c r="J326" i="13"/>
  <c r="I326" i="13"/>
  <c r="K325" i="13"/>
  <c r="J325" i="13"/>
  <c r="I325" i="13"/>
  <c r="K324" i="13"/>
  <c r="J324" i="13"/>
  <c r="I324" i="13"/>
  <c r="K323" i="13"/>
  <c r="J323" i="13"/>
  <c r="I323" i="13"/>
  <c r="K322" i="13"/>
  <c r="J322" i="13"/>
  <c r="I322" i="13"/>
  <c r="K321" i="13"/>
  <c r="J321" i="13"/>
  <c r="I321" i="13"/>
  <c r="K320" i="13"/>
  <c r="J320" i="13"/>
  <c r="I320" i="13"/>
  <c r="K319" i="13"/>
  <c r="J319" i="13"/>
  <c r="I319" i="13"/>
  <c r="K318" i="13"/>
  <c r="J318" i="13"/>
  <c r="I318" i="13"/>
  <c r="K317" i="13"/>
  <c r="J317" i="13"/>
  <c r="I317" i="13"/>
  <c r="K316" i="13"/>
  <c r="J316" i="13"/>
  <c r="I316" i="13"/>
  <c r="K315" i="13"/>
  <c r="J315" i="13"/>
  <c r="I315" i="13"/>
  <c r="K314" i="13"/>
  <c r="J314" i="13"/>
  <c r="I314" i="13"/>
  <c r="K313" i="13"/>
  <c r="J313" i="13"/>
  <c r="I313" i="13"/>
  <c r="K312" i="13"/>
  <c r="J312" i="13"/>
  <c r="I312" i="13"/>
  <c r="K311" i="13"/>
  <c r="J311" i="13"/>
  <c r="I311" i="13"/>
  <c r="K310" i="13"/>
  <c r="J310" i="13"/>
  <c r="I310" i="13"/>
  <c r="K309" i="13"/>
  <c r="J309" i="13"/>
  <c r="I309" i="13"/>
  <c r="K308" i="13"/>
  <c r="J308" i="13"/>
  <c r="I308" i="13"/>
  <c r="K307" i="13"/>
  <c r="J307" i="13"/>
  <c r="I307" i="13"/>
  <c r="K306" i="13"/>
  <c r="J306" i="13"/>
  <c r="I306" i="13"/>
  <c r="K305" i="13"/>
  <c r="J305" i="13"/>
  <c r="I305" i="13"/>
  <c r="K304" i="13"/>
  <c r="J304" i="13"/>
  <c r="I304" i="13"/>
  <c r="K303" i="13"/>
  <c r="J303" i="13"/>
  <c r="I303" i="13"/>
  <c r="K302" i="13"/>
  <c r="J302" i="13"/>
  <c r="I302" i="13"/>
  <c r="K301" i="13"/>
  <c r="J301" i="13"/>
  <c r="I301" i="13"/>
  <c r="K300" i="13"/>
  <c r="J300" i="13"/>
  <c r="I300" i="13"/>
  <c r="K299" i="13"/>
  <c r="J299" i="13"/>
  <c r="I299" i="13"/>
  <c r="K298" i="13"/>
  <c r="J298" i="13"/>
  <c r="I298" i="13"/>
  <c r="K297" i="13"/>
  <c r="J297" i="13"/>
  <c r="I297" i="13"/>
  <c r="K296" i="13"/>
  <c r="J296" i="13"/>
  <c r="I296" i="13"/>
  <c r="K295" i="13"/>
  <c r="J295" i="13"/>
  <c r="I295" i="13"/>
  <c r="K294" i="13"/>
  <c r="J294" i="13"/>
  <c r="I294" i="13"/>
  <c r="K293" i="13"/>
  <c r="J293" i="13"/>
  <c r="I293" i="13"/>
  <c r="K292" i="13"/>
  <c r="J292" i="13"/>
  <c r="I292" i="13"/>
  <c r="K291" i="13"/>
  <c r="J291" i="13"/>
  <c r="I291" i="13"/>
  <c r="K290" i="13"/>
  <c r="J290" i="13"/>
  <c r="I290" i="13"/>
  <c r="K289" i="13"/>
  <c r="J289" i="13"/>
  <c r="I289" i="13"/>
  <c r="K288" i="13"/>
  <c r="J288" i="13"/>
  <c r="I288" i="13"/>
  <c r="K287" i="13"/>
  <c r="J287" i="13"/>
  <c r="I287" i="13"/>
  <c r="K286" i="13"/>
  <c r="J286" i="13"/>
  <c r="I286" i="13"/>
  <c r="K285" i="13"/>
  <c r="J285" i="13"/>
  <c r="I285" i="13"/>
  <c r="K284" i="13"/>
  <c r="J284" i="13"/>
  <c r="I284" i="13"/>
  <c r="K283" i="13"/>
  <c r="J283" i="13"/>
  <c r="I283" i="13"/>
  <c r="K282" i="13"/>
  <c r="J282" i="13"/>
  <c r="I282" i="13"/>
  <c r="K281" i="13"/>
  <c r="J281" i="13"/>
  <c r="I281" i="13"/>
  <c r="K280" i="13"/>
  <c r="J280" i="13"/>
  <c r="I280" i="13"/>
  <c r="K279" i="13"/>
  <c r="J279" i="13"/>
  <c r="I279" i="13"/>
  <c r="K278" i="13"/>
  <c r="J278" i="13"/>
  <c r="I278" i="13"/>
  <c r="K277" i="13"/>
  <c r="J277" i="13"/>
  <c r="I277" i="13"/>
  <c r="K276" i="13"/>
  <c r="J276" i="13"/>
  <c r="I276" i="13"/>
  <c r="K275" i="13"/>
  <c r="J275" i="13"/>
  <c r="I275" i="13"/>
  <c r="K274" i="13"/>
  <c r="J274" i="13"/>
  <c r="I274" i="13"/>
  <c r="K273" i="13"/>
  <c r="J273" i="13"/>
  <c r="I273" i="13"/>
  <c r="K272" i="13"/>
  <c r="J272" i="13"/>
  <c r="I272" i="13"/>
  <c r="K271" i="13"/>
  <c r="J271" i="13"/>
  <c r="I271" i="13"/>
  <c r="K270" i="13"/>
  <c r="J270" i="13"/>
  <c r="I270" i="13"/>
  <c r="K269" i="13"/>
  <c r="J269" i="13"/>
  <c r="I269" i="13"/>
  <c r="K268" i="13"/>
  <c r="J268" i="13"/>
  <c r="I268" i="13"/>
  <c r="K267" i="13"/>
  <c r="J267" i="13"/>
  <c r="I267" i="13"/>
  <c r="K266" i="13"/>
  <c r="J266" i="13"/>
  <c r="I266" i="13"/>
  <c r="K265" i="13"/>
  <c r="J265" i="13"/>
  <c r="I265" i="13"/>
  <c r="K264" i="13"/>
  <c r="J264" i="13"/>
  <c r="I264" i="13"/>
  <c r="K263" i="13"/>
  <c r="J263" i="13"/>
  <c r="I263" i="13"/>
  <c r="K262" i="13"/>
  <c r="J262" i="13"/>
  <c r="I262" i="13"/>
  <c r="K261" i="13"/>
  <c r="J261" i="13"/>
  <c r="I261" i="13"/>
  <c r="K260" i="13"/>
  <c r="J260" i="13"/>
  <c r="I260" i="13"/>
  <c r="K259" i="13"/>
  <c r="J259" i="13"/>
  <c r="I259" i="13"/>
  <c r="K258" i="13"/>
  <c r="J258" i="13"/>
  <c r="I258" i="13"/>
  <c r="K257" i="13"/>
  <c r="J257" i="13"/>
  <c r="I257" i="13"/>
  <c r="K256" i="13"/>
  <c r="J256" i="13"/>
  <c r="I256" i="13"/>
  <c r="K255" i="13"/>
  <c r="J255" i="13"/>
  <c r="I255" i="13"/>
  <c r="K254" i="13"/>
  <c r="J254" i="13"/>
  <c r="I254" i="13"/>
  <c r="K253" i="13"/>
  <c r="J253" i="13"/>
  <c r="I253" i="13"/>
  <c r="K252" i="13"/>
  <c r="J252" i="13"/>
  <c r="I252" i="13"/>
  <c r="K251" i="13"/>
  <c r="J251" i="13"/>
  <c r="I251" i="13"/>
  <c r="K250" i="13"/>
  <c r="J250" i="13"/>
  <c r="I250" i="13"/>
  <c r="K249" i="13"/>
  <c r="J249" i="13"/>
  <c r="I249" i="13"/>
  <c r="K248" i="13"/>
  <c r="J248" i="13"/>
  <c r="I248" i="13"/>
  <c r="K247" i="13"/>
  <c r="J247" i="13"/>
  <c r="I247" i="13"/>
  <c r="K246" i="13"/>
  <c r="J246" i="13"/>
  <c r="I246" i="13"/>
  <c r="K245" i="13"/>
  <c r="J245" i="13"/>
  <c r="I245" i="13"/>
  <c r="K244" i="13"/>
  <c r="J244" i="13"/>
  <c r="I244" i="13"/>
  <c r="K243" i="13"/>
  <c r="J243" i="13"/>
  <c r="I243" i="13"/>
  <c r="K242" i="13"/>
  <c r="J242" i="13"/>
  <c r="I242" i="13"/>
  <c r="K241" i="13"/>
  <c r="J241" i="13"/>
  <c r="I241" i="13"/>
  <c r="K240" i="13"/>
  <c r="J240" i="13"/>
  <c r="I240" i="13"/>
  <c r="K239" i="13"/>
  <c r="J239" i="13"/>
  <c r="I239" i="13"/>
  <c r="K238" i="13"/>
  <c r="J238" i="13"/>
  <c r="I238" i="13"/>
  <c r="K237" i="13"/>
  <c r="J237" i="13"/>
  <c r="I237" i="13"/>
  <c r="K236" i="13"/>
  <c r="J236" i="13"/>
  <c r="I236" i="13"/>
  <c r="K235" i="13"/>
  <c r="J235" i="13"/>
  <c r="I235" i="13"/>
  <c r="K234" i="13"/>
  <c r="J234" i="13"/>
  <c r="I234" i="13"/>
  <c r="K233" i="13"/>
  <c r="J233" i="13"/>
  <c r="I233" i="13"/>
  <c r="K232" i="13"/>
  <c r="J232" i="13"/>
  <c r="I232" i="13"/>
  <c r="K231" i="13"/>
  <c r="J231" i="13"/>
  <c r="I231" i="13"/>
  <c r="K230" i="13"/>
  <c r="J230" i="13"/>
  <c r="I230" i="13"/>
  <c r="K229" i="13"/>
  <c r="J229" i="13"/>
  <c r="I229" i="13"/>
  <c r="K228" i="13"/>
  <c r="J228" i="13"/>
  <c r="I228" i="13"/>
  <c r="K227" i="13"/>
  <c r="J227" i="13"/>
  <c r="I227" i="13"/>
  <c r="K226" i="13"/>
  <c r="J226" i="13"/>
  <c r="I226" i="13"/>
  <c r="K225" i="13"/>
  <c r="J225" i="13"/>
  <c r="I225" i="13"/>
  <c r="K224" i="13"/>
  <c r="J224" i="13"/>
  <c r="I224" i="13"/>
  <c r="K223" i="13"/>
  <c r="J223" i="13"/>
  <c r="I223" i="13"/>
  <c r="K222" i="13"/>
  <c r="J222" i="13"/>
  <c r="I222" i="13"/>
  <c r="K221" i="13"/>
  <c r="J221" i="13"/>
  <c r="I221" i="13"/>
  <c r="K220" i="13"/>
  <c r="J220" i="13"/>
  <c r="I220" i="13"/>
  <c r="K219" i="13"/>
  <c r="J219" i="13"/>
  <c r="I219" i="13"/>
  <c r="K218" i="13"/>
  <c r="J218" i="13"/>
  <c r="I218" i="13"/>
  <c r="K217" i="13"/>
  <c r="J217" i="13"/>
  <c r="I217" i="13"/>
  <c r="K216" i="13"/>
  <c r="J216" i="13"/>
  <c r="I216" i="13"/>
  <c r="K215" i="13"/>
  <c r="J215" i="13"/>
  <c r="I215" i="13"/>
  <c r="K214" i="13"/>
  <c r="J214" i="13"/>
  <c r="I214" i="13"/>
  <c r="K213" i="13"/>
  <c r="J213" i="13"/>
  <c r="I213" i="13"/>
  <c r="K212" i="13"/>
  <c r="J212" i="13"/>
  <c r="I212" i="13"/>
  <c r="K211" i="13"/>
  <c r="J211" i="13"/>
  <c r="I211" i="13"/>
  <c r="K210" i="13"/>
  <c r="J210" i="13"/>
  <c r="I210" i="13"/>
  <c r="K209" i="13"/>
  <c r="J209" i="13"/>
  <c r="I209" i="13"/>
  <c r="K208" i="13"/>
  <c r="J208" i="13"/>
  <c r="I208" i="13"/>
  <c r="K207" i="13"/>
  <c r="J207" i="13"/>
  <c r="I207" i="13"/>
  <c r="K206" i="13"/>
  <c r="J206" i="13"/>
  <c r="I206" i="13"/>
  <c r="K205" i="13"/>
  <c r="J205" i="13"/>
  <c r="I205" i="13"/>
  <c r="K204" i="13"/>
  <c r="J204" i="13"/>
  <c r="I204" i="13"/>
  <c r="K203" i="13"/>
  <c r="J203" i="13"/>
  <c r="I203" i="13"/>
  <c r="K202" i="13"/>
  <c r="J202" i="13"/>
  <c r="I202" i="13"/>
  <c r="K195" i="13"/>
  <c r="J195" i="13"/>
  <c r="I195" i="13"/>
  <c r="K194" i="13"/>
  <c r="J194" i="13"/>
  <c r="I194" i="13"/>
  <c r="I192" i="13"/>
  <c r="I191" i="13"/>
  <c r="I190" i="13"/>
  <c r="I189" i="13"/>
  <c r="I188" i="13"/>
  <c r="I187" i="13"/>
  <c r="I186" i="13"/>
  <c r="I185" i="13"/>
  <c r="I184" i="13"/>
  <c r="I183" i="13"/>
  <c r="I182" i="13"/>
  <c r="I181" i="13"/>
  <c r="I180" i="13"/>
  <c r="I179" i="13"/>
  <c r="I178" i="13"/>
  <c r="I177" i="13"/>
  <c r="I176" i="13"/>
  <c r="K175" i="13"/>
  <c r="I175" i="13"/>
  <c r="I174" i="13"/>
  <c r="I173" i="13"/>
  <c r="I172" i="13"/>
  <c r="I171" i="13"/>
  <c r="I170" i="13"/>
  <c r="I169" i="13"/>
  <c r="I168" i="13"/>
  <c r="I167" i="13"/>
  <c r="I166" i="13"/>
  <c r="I165" i="13"/>
  <c r="I164" i="13"/>
  <c r="I163" i="13"/>
  <c r="I162" i="13"/>
  <c r="I161" i="13"/>
  <c r="I160" i="13"/>
  <c r="K158" i="13"/>
  <c r="I158" i="13"/>
  <c r="I157" i="13"/>
  <c r="I156" i="13"/>
  <c r="I155" i="13"/>
  <c r="I154" i="13"/>
  <c r="I153" i="13"/>
  <c r="E153" i="13"/>
  <c r="I152" i="13"/>
  <c r="I151" i="13"/>
  <c r="I150" i="13"/>
  <c r="I149" i="13"/>
  <c r="I148" i="13"/>
  <c r="I147" i="13"/>
  <c r="I146" i="13"/>
  <c r="I145" i="13"/>
  <c r="I144" i="13"/>
  <c r="I143" i="13"/>
  <c r="I142" i="13"/>
  <c r="I141" i="13"/>
  <c r="I140" i="13"/>
  <c r="I139" i="13"/>
  <c r="I138" i="13"/>
  <c r="K137" i="13"/>
  <c r="I137" i="13"/>
  <c r="I136" i="13"/>
  <c r="I135" i="13"/>
  <c r="I134" i="13"/>
  <c r="I133" i="13"/>
  <c r="I132" i="13"/>
  <c r="I131" i="13"/>
  <c r="I130" i="13"/>
  <c r="I129" i="13"/>
  <c r="I128" i="13"/>
  <c r="I127" i="13"/>
  <c r="I126" i="13"/>
  <c r="I125" i="13"/>
  <c r="I124" i="13"/>
  <c r="I123" i="13"/>
  <c r="K122" i="13"/>
  <c r="I122" i="13"/>
  <c r="K121" i="13"/>
  <c r="I121" i="13"/>
  <c r="K120" i="13"/>
  <c r="I120" i="13"/>
  <c r="K119" i="13"/>
  <c r="I119" i="13"/>
  <c r="K118" i="13"/>
  <c r="I118" i="13"/>
  <c r="K117" i="13"/>
  <c r="I117" i="13"/>
  <c r="K116" i="13"/>
  <c r="I116" i="13"/>
  <c r="K115" i="13"/>
  <c r="I115" i="13"/>
  <c r="K114" i="13"/>
  <c r="I114" i="13"/>
  <c r="K113" i="13"/>
  <c r="I113" i="13"/>
  <c r="K112" i="13"/>
  <c r="I112" i="13"/>
  <c r="K111" i="13"/>
  <c r="I111" i="13"/>
  <c r="K110" i="13"/>
  <c r="I110" i="13"/>
  <c r="K109" i="13"/>
  <c r="I109" i="13"/>
  <c r="K108" i="13"/>
  <c r="I108" i="13"/>
  <c r="K107" i="13"/>
  <c r="I107" i="13"/>
  <c r="K106" i="13"/>
  <c r="J106" i="13"/>
  <c r="I106" i="13"/>
  <c r="K105" i="13"/>
  <c r="J105" i="13"/>
  <c r="I105" i="13"/>
  <c r="K104" i="13"/>
  <c r="J104" i="13"/>
  <c r="I104" i="13"/>
  <c r="K103" i="13"/>
  <c r="I103" i="13"/>
  <c r="K102" i="13"/>
  <c r="I102" i="13"/>
  <c r="K101" i="13"/>
  <c r="J101" i="13"/>
  <c r="I101" i="13"/>
  <c r="K100" i="13"/>
  <c r="J100" i="13"/>
  <c r="I100" i="13"/>
  <c r="K99" i="13"/>
  <c r="J99" i="13"/>
  <c r="I99" i="13"/>
  <c r="K98" i="13"/>
  <c r="J98" i="13"/>
  <c r="I98" i="13"/>
  <c r="K97" i="13"/>
  <c r="J97" i="13"/>
  <c r="I97" i="13"/>
  <c r="K96" i="13"/>
  <c r="I96" i="13"/>
  <c r="K95" i="13"/>
  <c r="J95" i="13"/>
  <c r="I95" i="13"/>
  <c r="K94" i="13"/>
  <c r="J94" i="13"/>
  <c r="I94" i="13"/>
  <c r="K93" i="13"/>
  <c r="J93" i="13"/>
  <c r="I93" i="13"/>
  <c r="K92" i="13"/>
  <c r="I92" i="13"/>
  <c r="K91" i="13"/>
  <c r="I91" i="13"/>
  <c r="K90" i="13"/>
  <c r="I90" i="13"/>
  <c r="K83" i="13"/>
  <c r="I83" i="13"/>
  <c r="K82" i="13"/>
  <c r="I82" i="13"/>
  <c r="K81" i="13"/>
  <c r="J81" i="13"/>
  <c r="I81" i="13"/>
  <c r="K80" i="13"/>
  <c r="J80" i="13"/>
  <c r="I80" i="13"/>
  <c r="K79" i="13"/>
  <c r="J79" i="13"/>
  <c r="I79" i="13"/>
  <c r="K78" i="13"/>
  <c r="J78" i="13"/>
  <c r="I78" i="13"/>
  <c r="K77" i="13"/>
  <c r="J77" i="13"/>
  <c r="I77" i="13"/>
  <c r="K76" i="13"/>
  <c r="J76" i="13"/>
  <c r="I76" i="13"/>
  <c r="K75" i="13"/>
  <c r="J75" i="13"/>
  <c r="I75" i="13"/>
  <c r="K74" i="13"/>
  <c r="J74" i="13"/>
  <c r="I74" i="13"/>
  <c r="K73" i="13"/>
  <c r="J73" i="13"/>
  <c r="I73" i="13"/>
  <c r="K72" i="13"/>
  <c r="J72" i="13"/>
  <c r="I72" i="13"/>
  <c r="K71" i="13"/>
  <c r="J71" i="13"/>
  <c r="I71" i="13"/>
  <c r="K70" i="13"/>
  <c r="J70" i="13"/>
  <c r="I70" i="13"/>
  <c r="K69" i="13"/>
  <c r="J69" i="13"/>
  <c r="I69" i="13"/>
  <c r="K68" i="13"/>
  <c r="J68" i="13"/>
  <c r="I68" i="13"/>
  <c r="K67" i="13"/>
  <c r="J67" i="13"/>
  <c r="I67" i="13"/>
  <c r="K66" i="13"/>
  <c r="J66" i="13"/>
  <c r="I66" i="13"/>
  <c r="K65" i="13"/>
  <c r="J65" i="13"/>
  <c r="I65" i="13"/>
  <c r="K64" i="13"/>
  <c r="J64" i="13"/>
  <c r="I64" i="13"/>
  <c r="K63" i="13"/>
  <c r="J63" i="13"/>
  <c r="I63" i="13"/>
  <c r="K62" i="13"/>
  <c r="J62" i="13"/>
  <c r="I62" i="13"/>
  <c r="K61" i="13"/>
  <c r="J61" i="13"/>
  <c r="I61" i="13"/>
  <c r="K60" i="13"/>
  <c r="J60" i="13"/>
  <c r="I60" i="13"/>
  <c r="K59" i="13"/>
  <c r="J59" i="13"/>
  <c r="I59" i="13"/>
  <c r="F59" i="13"/>
  <c r="K58" i="13"/>
  <c r="J58" i="13"/>
  <c r="I58" i="13"/>
  <c r="K57" i="13"/>
  <c r="J57" i="13"/>
  <c r="I57" i="13"/>
  <c r="F57" i="13"/>
  <c r="K56" i="13"/>
  <c r="J56" i="13"/>
  <c r="I56" i="13"/>
  <c r="K55" i="13"/>
  <c r="J55" i="13"/>
  <c r="I55" i="13"/>
  <c r="K54" i="13"/>
  <c r="J54" i="13"/>
  <c r="I54" i="13"/>
  <c r="K53" i="13"/>
  <c r="K52" i="13"/>
  <c r="J52" i="13"/>
  <c r="I52" i="13"/>
  <c r="K43" i="13"/>
  <c r="J43" i="13"/>
  <c r="I43" i="13"/>
  <c r="K42" i="13"/>
  <c r="J42" i="13"/>
  <c r="I42" i="13"/>
  <c r="K41" i="13"/>
  <c r="J41" i="13"/>
  <c r="I41" i="13"/>
  <c r="K40" i="13"/>
  <c r="J40" i="13"/>
  <c r="I40" i="13"/>
  <c r="K37" i="13"/>
  <c r="J37" i="13"/>
  <c r="I37" i="13"/>
  <c r="K36" i="13"/>
  <c r="J36" i="13"/>
  <c r="I36" i="13"/>
  <c r="K35" i="13"/>
  <c r="J35" i="13"/>
  <c r="I35" i="13"/>
  <c r="K34" i="13"/>
  <c r="J34" i="13"/>
  <c r="I34" i="13"/>
  <c r="K33" i="13"/>
  <c r="J33" i="13"/>
  <c r="I33" i="13"/>
  <c r="K32" i="13"/>
  <c r="J32" i="13"/>
  <c r="I32" i="13"/>
  <c r="K31" i="13"/>
  <c r="J31" i="13"/>
  <c r="I31" i="13"/>
  <c r="K30" i="13"/>
  <c r="J30" i="13"/>
  <c r="I30" i="13"/>
  <c r="K29" i="13"/>
  <c r="J29" i="13"/>
  <c r="I29" i="13"/>
  <c r="K28" i="13"/>
  <c r="J28" i="13"/>
  <c r="I28" i="13"/>
  <c r="K27" i="13"/>
  <c r="J27" i="13"/>
  <c r="I27" i="13"/>
  <c r="K26" i="13"/>
  <c r="J26" i="13"/>
  <c r="I26" i="13"/>
  <c r="K25" i="13"/>
  <c r="J25" i="13"/>
  <c r="I25" i="13"/>
  <c r="K24" i="13"/>
  <c r="J24" i="13"/>
  <c r="I24" i="13"/>
  <c r="K23" i="13"/>
  <c r="J23" i="13"/>
  <c r="I23" i="13"/>
  <c r="K22" i="13"/>
  <c r="J22" i="13"/>
  <c r="I22" i="13"/>
  <c r="K21" i="13"/>
  <c r="J21" i="13"/>
  <c r="I21" i="13"/>
  <c r="K20" i="13"/>
  <c r="J20" i="13"/>
  <c r="I20" i="13"/>
  <c r="K19" i="13"/>
  <c r="J19" i="13"/>
  <c r="I19" i="13"/>
  <c r="K18" i="13"/>
  <c r="J18" i="13"/>
  <c r="I18" i="13"/>
  <c r="K17" i="13"/>
  <c r="J17" i="13"/>
  <c r="I17" i="13"/>
  <c r="K16" i="13"/>
  <c r="J16" i="13"/>
  <c r="I16" i="13"/>
  <c r="K15" i="13"/>
  <c r="J15" i="13"/>
  <c r="I15" i="13"/>
  <c r="K14" i="13"/>
  <c r="J14" i="13"/>
  <c r="I14" i="13"/>
  <c r="K13" i="13"/>
  <c r="J13" i="13"/>
  <c r="I13" i="13"/>
  <c r="K12" i="13"/>
  <c r="J12" i="13"/>
  <c r="I12" i="13"/>
  <c r="K11" i="13"/>
  <c r="J11" i="13"/>
  <c r="I11" i="13"/>
  <c r="K10" i="13"/>
  <c r="J10" i="13"/>
  <c r="I10" i="13"/>
  <c r="K9" i="13"/>
  <c r="J9" i="13"/>
  <c r="I9" i="13"/>
  <c r="K8" i="13"/>
  <c r="J8" i="13"/>
  <c r="I8" i="13"/>
  <c r="K7" i="13"/>
  <c r="J7" i="13"/>
  <c r="I7" i="13"/>
  <c r="K6" i="13"/>
  <c r="I6" i="13"/>
  <c r="K5" i="13"/>
  <c r="J5" i="13"/>
  <c r="I5" i="13"/>
  <c r="K4" i="13"/>
  <c r="J4" i="13"/>
  <c r="I4" i="13"/>
  <c r="J37" i="11"/>
  <c r="L37" i="11"/>
  <c r="C10" i="12"/>
  <c r="C13" i="12"/>
  <c r="C11" i="12"/>
  <c r="C12" i="12"/>
  <c r="D13" i="12"/>
  <c r="I13" i="12"/>
  <c r="F15" i="3"/>
  <c r="I18" i="5"/>
  <c r="C8" i="12" s="1"/>
  <c r="E30" i="3"/>
  <c r="F41" i="3"/>
  <c r="M14" i="4"/>
  <c r="O14" i="4"/>
  <c r="L14" i="4"/>
  <c r="D15" i="4"/>
  <c r="K15" i="4"/>
  <c r="O15" i="4"/>
  <c r="L15" i="4" s="1"/>
  <c r="K17" i="4"/>
  <c r="D21" i="4"/>
  <c r="O21" i="4"/>
  <c r="L21" i="4"/>
  <c r="D22" i="4"/>
  <c r="M22" i="4"/>
  <c r="O22" i="4"/>
  <c r="L22" i="4"/>
  <c r="N22" i="4" s="1"/>
  <c r="D25" i="4"/>
  <c r="K25" i="4"/>
  <c r="O25" i="4"/>
  <c r="L25" i="4"/>
  <c r="D26" i="4"/>
  <c r="L26" i="4"/>
  <c r="O26" i="4"/>
  <c r="D27" i="4"/>
  <c r="M27" i="4" s="1"/>
  <c r="O27" i="4"/>
  <c r="L27" i="4" s="1"/>
  <c r="N27" i="4" s="1"/>
  <c r="L29" i="4"/>
  <c r="M29" i="4"/>
  <c r="D32" i="4"/>
  <c r="K32" i="4" s="1"/>
  <c r="O32" i="4"/>
  <c r="L32" i="4" s="1"/>
  <c r="D33" i="4"/>
  <c r="K33" i="4" s="1"/>
  <c r="O33" i="4"/>
  <c r="L33" i="4"/>
  <c r="M40" i="4"/>
  <c r="O40" i="4"/>
  <c r="L40" i="4"/>
  <c r="D41" i="4"/>
  <c r="M41" i="4" s="1"/>
  <c r="O41" i="4"/>
  <c r="L41" i="4"/>
  <c r="D42" i="4"/>
  <c r="K42" i="4" s="1"/>
  <c r="O42" i="4"/>
  <c r="L42" i="4"/>
  <c r="D45" i="4"/>
  <c r="M45" i="4" s="1"/>
  <c r="O45" i="4"/>
  <c r="L45" i="4" s="1"/>
  <c r="D46" i="4"/>
  <c r="M46" i="4" s="1"/>
  <c r="L46" i="4"/>
  <c r="N46" i="4" s="1"/>
  <c r="O46" i="4"/>
  <c r="D47" i="4"/>
  <c r="M47" i="4" s="1"/>
  <c r="O47" i="4"/>
  <c r="L47" i="4" s="1"/>
  <c r="D50" i="4"/>
  <c r="M50" i="4" s="1"/>
  <c r="K50" i="4"/>
  <c r="O50" i="4"/>
  <c r="L50" i="4" s="1"/>
  <c r="D51" i="4"/>
  <c r="M51" i="4" s="1"/>
  <c r="O51" i="4"/>
  <c r="L51" i="4" s="1"/>
  <c r="N51" i="4" s="1"/>
  <c r="D52" i="4"/>
  <c r="M52" i="4"/>
  <c r="L52" i="4"/>
  <c r="O52" i="4"/>
  <c r="D55" i="4"/>
  <c r="K55" i="4"/>
  <c r="O55" i="4"/>
  <c r="L55" i="4" s="1"/>
  <c r="M56" i="4"/>
  <c r="O56" i="4"/>
  <c r="L56" i="4"/>
  <c r="K57" i="4"/>
  <c r="O57" i="4"/>
  <c r="L57" i="4" s="1"/>
  <c r="N57" i="4" s="1"/>
  <c r="K61" i="4"/>
  <c r="O61" i="4"/>
  <c r="L61" i="4" s="1"/>
  <c r="D62" i="4"/>
  <c r="M62" i="4" s="1"/>
  <c r="O62" i="4"/>
  <c r="L62" i="4" s="1"/>
  <c r="N62" i="4" s="1"/>
  <c r="D65" i="4"/>
  <c r="M65" i="4" s="1"/>
  <c r="K65" i="4"/>
  <c r="O65" i="4"/>
  <c r="L65" i="4" s="1"/>
  <c r="D66" i="4"/>
  <c r="K66" i="4" s="1"/>
  <c r="O66" i="4"/>
  <c r="L66" i="4"/>
  <c r="D69" i="4"/>
  <c r="M69" i="4" s="1"/>
  <c r="O69" i="4"/>
  <c r="L69" i="4"/>
  <c r="D70" i="4"/>
  <c r="M70" i="4" s="1"/>
  <c r="O70" i="4"/>
  <c r="L70" i="4" s="1"/>
  <c r="D73" i="4"/>
  <c r="M73" i="4"/>
  <c r="O73" i="4"/>
  <c r="L73" i="4" s="1"/>
  <c r="D74" i="4"/>
  <c r="K74" i="4"/>
  <c r="O74" i="4"/>
  <c r="L74" i="4"/>
  <c r="D78" i="4"/>
  <c r="M78" i="4" s="1"/>
  <c r="O78" i="4"/>
  <c r="L78" i="4"/>
  <c r="D79" i="4"/>
  <c r="M79" i="4"/>
  <c r="N79" i="4" s="1"/>
  <c r="O79" i="4"/>
  <c r="L79" i="4"/>
  <c r="D82" i="4"/>
  <c r="M82" i="4"/>
  <c r="N82" i="4" s="1"/>
  <c r="O82" i="4"/>
  <c r="L82" i="4"/>
  <c r="D83" i="4"/>
  <c r="K83" i="4"/>
  <c r="O83" i="4"/>
  <c r="L83" i="4"/>
  <c r="D87" i="4"/>
  <c r="K87" i="4"/>
  <c r="O87" i="4"/>
  <c r="L87" i="4"/>
  <c r="D88" i="4"/>
  <c r="M88" i="4"/>
  <c r="N88" i="4" s="1"/>
  <c r="O88" i="4"/>
  <c r="L88" i="4"/>
  <c r="K91" i="4"/>
  <c r="L91" i="4"/>
  <c r="O91" i="4"/>
  <c r="D92" i="4"/>
  <c r="K92" i="4" s="1"/>
  <c r="O92" i="4"/>
  <c r="L92" i="4" s="1"/>
  <c r="I10" i="5"/>
  <c r="B3" i="12" s="1"/>
  <c r="I13" i="5"/>
  <c r="C3" i="12" s="1"/>
  <c r="I14" i="5"/>
  <c r="C4" i="12" s="1"/>
  <c r="Q14" i="5"/>
  <c r="I15" i="5"/>
  <c r="C5" i="12" s="1"/>
  <c r="I16" i="5"/>
  <c r="C6" i="12"/>
  <c r="M16" i="5"/>
  <c r="O10" i="4" s="1"/>
  <c r="L10" i="4" s="1"/>
  <c r="N16" i="5"/>
  <c r="I17" i="5"/>
  <c r="C7" i="12" s="1"/>
  <c r="I19" i="5"/>
  <c r="I21" i="5"/>
  <c r="I22" i="5"/>
  <c r="I23" i="5"/>
  <c r="G24" i="5"/>
  <c r="I24" i="5"/>
  <c r="I25" i="5"/>
  <c r="B10" i="12" s="1"/>
  <c r="I26" i="5"/>
  <c r="I27" i="5"/>
  <c r="I28" i="5"/>
  <c r="I29" i="5"/>
  <c r="I30" i="5"/>
  <c r="M30" i="5"/>
  <c r="N30" i="5"/>
  <c r="I32" i="5"/>
  <c r="G35" i="5"/>
  <c r="I35" i="5"/>
  <c r="C34" i="11"/>
  <c r="G36" i="5"/>
  <c r="I36" i="5"/>
  <c r="C35" i="11" s="1"/>
  <c r="G37" i="5"/>
  <c r="I37" i="5"/>
  <c r="C36" i="11"/>
  <c r="M37" i="5"/>
  <c r="N37" i="5"/>
  <c r="M43" i="5"/>
  <c r="K52" i="5"/>
  <c r="K65" i="5" s="1"/>
  <c r="K53" i="5"/>
  <c r="K66" i="5"/>
  <c r="K14" i="4"/>
  <c r="K73" i="4"/>
  <c r="K56" i="4"/>
  <c r="K88" i="4"/>
  <c r="K31" i="4"/>
  <c r="M25" i="4"/>
  <c r="N25" i="4" s="1"/>
  <c r="M74" i="4"/>
  <c r="K52" i="4"/>
  <c r="K62" i="4"/>
  <c r="M55" i="4"/>
  <c r="N55" i="4" s="1"/>
  <c r="K27" i="4"/>
  <c r="K22" i="4"/>
  <c r="M87" i="4"/>
  <c r="N87" i="4" s="1"/>
  <c r="K81" i="4"/>
  <c r="M91" i="4"/>
  <c r="K82" i="4"/>
  <c r="M61" i="4"/>
  <c r="N61" i="4" s="1"/>
  <c r="K39" i="4"/>
  <c r="K90" i="4"/>
  <c r="K64" i="4"/>
  <c r="K44" i="4"/>
  <c r="O44" i="4" s="1"/>
  <c r="L44" i="4" s="1"/>
  <c r="D44" i="4"/>
  <c r="M44" i="4" s="1"/>
  <c r="K20" i="4"/>
  <c r="K72" i="4"/>
  <c r="D72" i="4" s="1"/>
  <c r="K26" i="4"/>
  <c r="M83" i="4"/>
  <c r="K13" i="4"/>
  <c r="E23" i="5"/>
  <c r="M66" i="4"/>
  <c r="N66" i="4" s="1"/>
  <c r="K51" i="4"/>
  <c r="K47" i="4"/>
  <c r="M32" i="4"/>
  <c r="K21" i="4"/>
  <c r="M15" i="4"/>
  <c r="M26" i="4"/>
  <c r="N26" i="4" s="1"/>
  <c r="K69" i="4"/>
  <c r="K49" i="4"/>
  <c r="M21" i="4"/>
  <c r="N21" i="4" s="1"/>
  <c r="K54" i="4"/>
  <c r="I33" i="5"/>
  <c r="P37" i="5"/>
  <c r="I31" i="5"/>
  <c r="O30" i="5" s="1"/>
  <c r="E22" i="5"/>
  <c r="N28" i="5"/>
  <c r="K86" i="4"/>
  <c r="F64" i="4"/>
  <c r="F44" i="4"/>
  <c r="I20" i="5"/>
  <c r="N24" i="5" s="1"/>
  <c r="D28" i="4" s="1"/>
  <c r="N22" i="5" s="1"/>
  <c r="H40" i="5"/>
  <c r="P24" i="5"/>
  <c r="N43" i="5"/>
  <c r="C37" i="11"/>
  <c r="C38" i="11"/>
  <c r="K77" i="4"/>
  <c r="K46" i="4"/>
  <c r="K70" i="4"/>
  <c r="K79" i="4"/>
  <c r="K41" i="4"/>
  <c r="N65" i="4"/>
  <c r="O72" i="4"/>
  <c r="L72" i="4" s="1"/>
  <c r="F72" i="4"/>
  <c r="F49" i="4"/>
  <c r="O49" i="4"/>
  <c r="L49" i="4" s="1"/>
  <c r="D35" i="4"/>
  <c r="O28" i="4"/>
  <c r="L28" i="4"/>
  <c r="F28" i="4"/>
  <c r="O81" i="4"/>
  <c r="L81" i="4" s="1"/>
  <c r="M72" i="4"/>
  <c r="P35" i="5"/>
  <c r="P65" i="5"/>
  <c r="P22" i="5"/>
  <c r="M28" i="4"/>
  <c r="N78" i="4" l="1"/>
  <c r="N73" i="4"/>
  <c r="N56" i="4"/>
  <c r="N50" i="4"/>
  <c r="N40" i="4"/>
  <c r="N14" i="4"/>
  <c r="N70" i="4"/>
  <c r="N52" i="4"/>
  <c r="N47" i="4"/>
  <c r="N32" i="4"/>
  <c r="N45" i="4"/>
  <c r="N91" i="4"/>
  <c r="D138" i="13"/>
  <c r="D269" i="13"/>
  <c r="B5" i="11" s="1"/>
  <c r="D513" i="13"/>
  <c r="A196" i="12" s="1"/>
  <c r="N28" i="4"/>
  <c r="D536" i="13"/>
  <c r="A219" i="12" s="1"/>
  <c r="D499" i="13"/>
  <c r="A182" i="12" s="1"/>
  <c r="D310" i="13"/>
  <c r="B26" i="3" s="1"/>
  <c r="D192" i="13"/>
  <c r="C93" i="4" s="1"/>
  <c r="D323" i="13"/>
  <c r="B46" i="3" s="1"/>
  <c r="D67" i="13"/>
  <c r="B9" i="2" s="1"/>
  <c r="D133" i="13"/>
  <c r="C34" i="4" s="1"/>
  <c r="D115" i="13"/>
  <c r="C16" i="4" s="1"/>
  <c r="D226" i="13"/>
  <c r="D395" i="13"/>
  <c r="A78" i="12" s="1"/>
  <c r="D365" i="13"/>
  <c r="A48" i="12" s="1"/>
  <c r="D50" i="13"/>
  <c r="D159" i="13"/>
  <c r="B159" i="13" s="1"/>
  <c r="C14" i="6" s="1"/>
  <c r="D248" i="13"/>
  <c r="C8" i="10" s="1"/>
  <c r="D450" i="13"/>
  <c r="A133" i="12" s="1"/>
  <c r="D338" i="13"/>
  <c r="D175" i="13"/>
  <c r="D538" i="13"/>
  <c r="A221" i="12" s="1"/>
  <c r="D472" i="13"/>
  <c r="A155" i="12" s="1"/>
  <c r="D278" i="13"/>
  <c r="B14" i="11" s="1"/>
  <c r="D547" i="13"/>
  <c r="A230" i="12" s="1"/>
  <c r="D111" i="13"/>
  <c r="C12" i="4" s="1"/>
  <c r="D145" i="13"/>
  <c r="C46" i="4" s="1"/>
  <c r="D202" i="13"/>
  <c r="C13" i="3" s="1"/>
  <c r="G16" i="5" s="1"/>
  <c r="K6" i="12" s="1"/>
  <c r="D230" i="13"/>
  <c r="D276" i="13"/>
  <c r="B12" i="11" s="1"/>
  <c r="D300" i="13"/>
  <c r="C9" i="3" s="1"/>
  <c r="D327" i="13"/>
  <c r="D376" i="13"/>
  <c r="A59" i="12" s="1"/>
  <c r="D425" i="13"/>
  <c r="A108" i="12" s="1"/>
  <c r="D459" i="13"/>
  <c r="A142" i="12" s="1"/>
  <c r="D526" i="13"/>
  <c r="A209" i="12" s="1"/>
  <c r="D78" i="13"/>
  <c r="D527" i="13"/>
  <c r="A210" i="12" s="1"/>
  <c r="D12" i="13"/>
  <c r="D10" i="1" s="1"/>
  <c r="D140" i="13"/>
  <c r="C41" i="4" s="1"/>
  <c r="D345" i="13"/>
  <c r="A28" i="12" s="1"/>
  <c r="D21" i="13"/>
  <c r="D18" i="1" s="1"/>
  <c r="D63" i="13"/>
  <c r="B4" i="2" s="1"/>
  <c r="D554" i="13"/>
  <c r="A237" i="12" s="1"/>
  <c r="D551" i="13"/>
  <c r="A234" i="12" s="1"/>
  <c r="D541" i="13"/>
  <c r="A224" i="12" s="1"/>
  <c r="D531" i="13"/>
  <c r="A214" i="12" s="1"/>
  <c r="D519" i="13"/>
  <c r="A202" i="12" s="1"/>
  <c r="D509" i="13"/>
  <c r="A192" i="12" s="1"/>
  <c r="D493" i="13"/>
  <c r="A176" i="12" s="1"/>
  <c r="D485" i="13"/>
  <c r="A168" i="12" s="1"/>
  <c r="D474" i="13"/>
  <c r="A157" i="12" s="1"/>
  <c r="D465" i="13"/>
  <c r="A148" i="12" s="1"/>
  <c r="D455" i="13"/>
  <c r="A138" i="12" s="1"/>
  <c r="D447" i="13"/>
  <c r="A130" i="12" s="1"/>
  <c r="D430" i="13"/>
  <c r="A113" i="12" s="1"/>
  <c r="D427" i="13"/>
  <c r="A110" i="12" s="1"/>
  <c r="D410" i="13"/>
  <c r="A93" i="12" s="1"/>
  <c r="D402" i="13"/>
  <c r="A85" i="12" s="1"/>
  <c r="D392" i="13"/>
  <c r="A75" i="12" s="1"/>
  <c r="D384" i="13"/>
  <c r="A67" i="12" s="1"/>
  <c r="D372" i="13"/>
  <c r="A55" i="12" s="1"/>
  <c r="D364" i="13"/>
  <c r="A47" i="12" s="1"/>
  <c r="D347" i="13"/>
  <c r="A30" i="12" s="1"/>
  <c r="D339" i="13"/>
  <c r="A22" i="12" s="1"/>
  <c r="D321" i="13"/>
  <c r="C40" i="3" s="1"/>
  <c r="D313" i="13"/>
  <c r="B29" i="3" s="1"/>
  <c r="D296" i="13"/>
  <c r="B32" i="11" s="1"/>
  <c r="D288" i="13"/>
  <c r="B24" i="11" s="1"/>
  <c r="D280" i="13"/>
  <c r="B16" i="11" s="1"/>
  <c r="D272" i="13"/>
  <c r="B8" i="11" s="1"/>
  <c r="D253" i="13"/>
  <c r="C13" i="10" s="1"/>
  <c r="D243" i="13"/>
  <c r="B3" i="9" s="1"/>
  <c r="D214" i="13"/>
  <c r="D208" i="13"/>
  <c r="D193" i="13"/>
  <c r="D166" i="13"/>
  <c r="C67" i="4" s="1"/>
  <c r="D144" i="13"/>
  <c r="C45" i="4" s="1"/>
  <c r="D136" i="13"/>
  <c r="C37" i="4" s="1"/>
  <c r="D103" i="13"/>
  <c r="D98" i="13"/>
  <c r="D103" i="4" s="1"/>
  <c r="D83" i="13"/>
  <c r="B12" i="2" s="1"/>
  <c r="D65" i="13"/>
  <c r="B7" i="2" s="1"/>
  <c r="D47" i="13"/>
  <c r="D32" i="13"/>
  <c r="B19" i="1" s="1"/>
  <c r="D14" i="13"/>
  <c r="D12" i="1" s="1"/>
  <c r="D556" i="13"/>
  <c r="A239" i="12" s="1"/>
  <c r="D522" i="13"/>
  <c r="A205" i="12" s="1"/>
  <c r="D381" i="13"/>
  <c r="A64" i="12" s="1"/>
  <c r="D75" i="13"/>
  <c r="D79" i="13"/>
  <c r="B22" i="2" s="1"/>
  <c r="D123" i="13"/>
  <c r="B123" i="13" s="1"/>
  <c r="C10" i="6" s="1"/>
  <c r="D302" i="13"/>
  <c r="F9" i="3" s="1"/>
  <c r="D417" i="13"/>
  <c r="A100" i="12" s="1"/>
  <c r="D528" i="13"/>
  <c r="A211" i="12" s="1"/>
  <c r="D13" i="13"/>
  <c r="D11" i="1" s="1"/>
  <c r="D147" i="13"/>
  <c r="C48" i="4" s="1"/>
  <c r="D371" i="13"/>
  <c r="A54" i="12" s="1"/>
  <c r="D22" i="13"/>
  <c r="D19" i="1" s="1"/>
  <c r="D94" i="13"/>
  <c r="D355" i="13"/>
  <c r="A38" i="12" s="1"/>
  <c r="D553" i="13"/>
  <c r="A236" i="12" s="1"/>
  <c r="D548" i="13"/>
  <c r="A231" i="12" s="1"/>
  <c r="D540" i="13"/>
  <c r="A223" i="12" s="1"/>
  <c r="D521" i="13"/>
  <c r="A204" i="12" s="1"/>
  <c r="D511" i="13"/>
  <c r="A194" i="12" s="1"/>
  <c r="D501" i="13"/>
  <c r="A184" i="12" s="1"/>
  <c r="D492" i="13"/>
  <c r="A175" i="12" s="1"/>
  <c r="D482" i="13"/>
  <c r="A165" i="12" s="1"/>
  <c r="D473" i="13"/>
  <c r="A156" i="12" s="1"/>
  <c r="D457" i="13"/>
  <c r="A140" i="12" s="1"/>
  <c r="D454" i="13"/>
  <c r="A137" i="12" s="1"/>
  <c r="D438" i="13"/>
  <c r="A121" i="12" s="1"/>
  <c r="D429" i="13"/>
  <c r="A112" i="12" s="1"/>
  <c r="D418" i="13"/>
  <c r="A101" i="12" s="1"/>
  <c r="D409" i="13"/>
  <c r="A92" i="12" s="1"/>
  <c r="D399" i="13"/>
  <c r="A82" i="12" s="1"/>
  <c r="D391" i="13"/>
  <c r="A74" i="12" s="1"/>
  <c r="D374" i="13"/>
  <c r="A57" i="12" s="1"/>
  <c r="D366" i="13"/>
  <c r="A49" i="12" s="1"/>
  <c r="D356" i="13"/>
  <c r="A39" i="12" s="1"/>
  <c r="D346" i="13"/>
  <c r="A29" i="12" s="1"/>
  <c r="D320" i="13"/>
  <c r="B40" i="3" s="1"/>
  <c r="D312" i="13"/>
  <c r="B28" i="3" s="1"/>
  <c r="D304" i="13"/>
  <c r="B18" i="3" s="1"/>
  <c r="D287" i="13"/>
  <c r="B23" i="11" s="1"/>
  <c r="D279" i="13"/>
  <c r="B15" i="11" s="1"/>
  <c r="D271" i="13"/>
  <c r="B7" i="11" s="1"/>
  <c r="D262" i="13"/>
  <c r="C22" i="10" s="1"/>
  <c r="D216" i="13"/>
  <c r="D211" i="13"/>
  <c r="D191" i="13"/>
  <c r="C92" i="4" s="1"/>
  <c r="D163" i="13"/>
  <c r="D152" i="13"/>
  <c r="C53" i="4" s="1"/>
  <c r="D132" i="13"/>
  <c r="C33" i="4" s="1"/>
  <c r="D128" i="13"/>
  <c r="C29" i="4" s="1"/>
  <c r="D122" i="13"/>
  <c r="B10" i="6" s="1"/>
  <c r="D113" i="13"/>
  <c r="C14" i="4" s="1"/>
  <c r="D107" i="13"/>
  <c r="C8" i="4" s="1"/>
  <c r="D99" i="13"/>
  <c r="D104" i="4" s="1"/>
  <c r="E40" i="4" s="1"/>
  <c r="D97" i="13"/>
  <c r="D102" i="4" s="1"/>
  <c r="D91" i="13"/>
  <c r="D81" i="13"/>
  <c r="D59" i="13"/>
  <c r="B38" i="1" s="1"/>
  <c r="D42" i="13"/>
  <c r="B29" i="1" s="1"/>
  <c r="D561" i="13"/>
  <c r="D558" i="13"/>
  <c r="A241" i="12" s="1"/>
  <c r="D543" i="13"/>
  <c r="A226" i="12" s="1"/>
  <c r="D495" i="13"/>
  <c r="A178" i="12" s="1"/>
  <c r="D407" i="13"/>
  <c r="A90" i="12" s="1"/>
  <c r="D76" i="13"/>
  <c r="B18" i="2" s="1"/>
  <c r="D206" i="13"/>
  <c r="B7" i="6" s="1"/>
  <c r="D11" i="13"/>
  <c r="D9" i="1" s="1"/>
  <c r="D46" i="13"/>
  <c r="D286" i="13"/>
  <c r="B22" i="11" s="1"/>
  <c r="D19" i="13"/>
  <c r="D17" i="1" s="1"/>
  <c r="D64" i="13"/>
  <c r="B6" i="2" s="1"/>
  <c r="D95" i="13"/>
  <c r="D185" i="13"/>
  <c r="D555" i="13"/>
  <c r="A238" i="12" s="1"/>
  <c r="D550" i="13"/>
  <c r="A233" i="12" s="1"/>
  <c r="D542" i="13"/>
  <c r="A225" i="12" s="1"/>
  <c r="D530" i="13"/>
  <c r="A213" i="12" s="1"/>
  <c r="D520" i="13"/>
  <c r="A203" i="12" s="1"/>
  <c r="D503" i="13"/>
  <c r="A186" i="12" s="1"/>
  <c r="D494" i="13"/>
  <c r="A177" i="12" s="1"/>
  <c r="D484" i="13"/>
  <c r="A167" i="12" s="1"/>
  <c r="D475" i="13"/>
  <c r="A158" i="12" s="1"/>
  <c r="D464" i="13"/>
  <c r="A147" i="12" s="1"/>
  <c r="D456" i="13"/>
  <c r="A139" i="12" s="1"/>
  <c r="D446" i="13"/>
  <c r="A129" i="12" s="1"/>
  <c r="D437" i="13"/>
  <c r="A120" i="12" s="1"/>
  <c r="D420" i="13"/>
  <c r="A103" i="12" s="1"/>
  <c r="D411" i="13"/>
  <c r="A94" i="12" s="1"/>
  <c r="D401" i="13"/>
  <c r="A84" i="12" s="1"/>
  <c r="D393" i="13"/>
  <c r="A76" i="12" s="1"/>
  <c r="D383" i="13"/>
  <c r="A66" i="12" s="1"/>
  <c r="D373" i="13"/>
  <c r="A56" i="12" s="1"/>
  <c r="D358" i="13"/>
  <c r="A41" i="12" s="1"/>
  <c r="D348" i="13"/>
  <c r="A31" i="12" s="1"/>
  <c r="D335" i="13"/>
  <c r="D319" i="13"/>
  <c r="B39" i="3" s="1"/>
  <c r="D311" i="13"/>
  <c r="B27" i="3" s="1"/>
  <c r="D303" i="13"/>
  <c r="B15" i="3" s="1"/>
  <c r="D295" i="13"/>
  <c r="B31" i="11" s="1"/>
  <c r="D273" i="13"/>
  <c r="B9" i="11" s="1"/>
  <c r="D264" i="13"/>
  <c r="C24" i="10" s="1"/>
  <c r="D255" i="13"/>
  <c r="C15" i="10" s="1"/>
  <c r="D245" i="13"/>
  <c r="C5" i="10" s="1"/>
  <c r="D213" i="13"/>
  <c r="B3" i="6" s="1"/>
  <c r="D210" i="13"/>
  <c r="D207" i="13"/>
  <c r="A5" i="10" s="1"/>
  <c r="D168" i="13"/>
  <c r="C69" i="4" s="1"/>
  <c r="D161" i="13"/>
  <c r="C62" i="4" s="1"/>
  <c r="D149" i="13"/>
  <c r="C50" i="4" s="1"/>
  <c r="D142" i="13"/>
  <c r="C43" i="4" s="1"/>
  <c r="D106" i="13"/>
  <c r="J8" i="4" s="1"/>
  <c r="D96" i="13"/>
  <c r="D8" i="4" s="1"/>
  <c r="D89" i="13"/>
  <c r="D80" i="13"/>
  <c r="B24" i="2" s="1"/>
  <c r="D55" i="13"/>
  <c r="B34" i="1" s="1"/>
  <c r="D41" i="13"/>
  <c r="B27" i="1" s="1"/>
  <c r="D24" i="13"/>
  <c r="D21" i="1" s="1"/>
  <c r="D560" i="13"/>
  <c r="A243" i="12" s="1"/>
  <c r="D557" i="13"/>
  <c r="A240" i="12" s="1"/>
  <c r="D512" i="13"/>
  <c r="A195" i="12" s="1"/>
  <c r="D169" i="13"/>
  <c r="C70" i="4" s="1"/>
  <c r="D88" i="13"/>
  <c r="D93" i="13"/>
  <c r="B8" i="4" s="1"/>
  <c r="D552" i="13"/>
  <c r="A235" i="12" s="1"/>
  <c r="D529" i="13"/>
  <c r="A212" i="12" s="1"/>
  <c r="D466" i="13"/>
  <c r="A149" i="12" s="1"/>
  <c r="D439" i="13"/>
  <c r="A122" i="12" s="1"/>
  <c r="D385" i="13"/>
  <c r="A68" i="12" s="1"/>
  <c r="D357" i="13"/>
  <c r="A40" i="12" s="1"/>
  <c r="D281" i="13"/>
  <c r="B17" i="11" s="1"/>
  <c r="D244" i="13"/>
  <c r="C4" i="10" s="1"/>
  <c r="D198" i="13"/>
  <c r="D139" i="13"/>
  <c r="C40" i="4" s="1"/>
  <c r="D109" i="13"/>
  <c r="D85" i="13"/>
  <c r="D23" i="13"/>
  <c r="D20" i="1" s="1"/>
  <c r="D504" i="13"/>
  <c r="A187" i="12" s="1"/>
  <c r="D476" i="13"/>
  <c r="A159" i="12" s="1"/>
  <c r="D449" i="13"/>
  <c r="A132" i="12" s="1"/>
  <c r="D403" i="13"/>
  <c r="A86" i="12" s="1"/>
  <c r="D375" i="13"/>
  <c r="A58" i="12" s="1"/>
  <c r="D336" i="13"/>
  <c r="D314" i="13"/>
  <c r="D29" i="3" s="1"/>
  <c r="D290" i="13"/>
  <c r="B26" i="11" s="1"/>
  <c r="D247" i="13"/>
  <c r="D199" i="13"/>
  <c r="D188" i="13"/>
  <c r="C89" i="4" s="1"/>
  <c r="D182" i="13"/>
  <c r="C83" i="4" s="1"/>
  <c r="D170" i="13"/>
  <c r="C71" i="4" s="1"/>
  <c r="D155" i="13"/>
  <c r="C56" i="4" s="1"/>
  <c r="D117" i="13"/>
  <c r="C18" i="4" s="1"/>
  <c r="D102" i="13"/>
  <c r="F8" i="4" s="1"/>
  <c r="D86" i="13"/>
  <c r="D70" i="13"/>
  <c r="D57" i="13"/>
  <c r="B36" i="1" s="1"/>
  <c r="D52" i="13"/>
  <c r="M2" i="3" s="1"/>
  <c r="D35" i="13"/>
  <c r="B22" i="1" s="1"/>
  <c r="D25" i="13"/>
  <c r="D22" i="1" s="1"/>
  <c r="D15" i="13"/>
  <c r="D13" i="1" s="1"/>
  <c r="D5" i="13"/>
  <c r="D74" i="13"/>
  <c r="D329" i="13"/>
  <c r="F65" i="4" s="1"/>
  <c r="D153" i="13"/>
  <c r="D549" i="13"/>
  <c r="A232" i="12" s="1"/>
  <c r="D491" i="13"/>
  <c r="A174" i="12" s="1"/>
  <c r="D463" i="13"/>
  <c r="A146" i="12" s="1"/>
  <c r="D408" i="13"/>
  <c r="A91" i="12" s="1"/>
  <c r="D382" i="13"/>
  <c r="A65" i="12" s="1"/>
  <c r="D305" i="13"/>
  <c r="B19" i="3" s="1"/>
  <c r="D215" i="13"/>
  <c r="D130" i="13"/>
  <c r="D559" i="13"/>
  <c r="A242" i="12" s="1"/>
  <c r="D467" i="13"/>
  <c r="A150" i="12" s="1"/>
  <c r="D421" i="13"/>
  <c r="A104" i="12" s="1"/>
  <c r="D394" i="13"/>
  <c r="A77" i="12" s="1"/>
  <c r="D349" i="13"/>
  <c r="A32" i="12" s="1"/>
  <c r="D331" i="13"/>
  <c r="D306" i="13"/>
  <c r="B20" i="3" s="1"/>
  <c r="D265" i="13"/>
  <c r="C25" i="10" s="1"/>
  <c r="D246" i="13"/>
  <c r="C6" i="10" s="1"/>
  <c r="D194" i="13"/>
  <c r="B3" i="3" s="1"/>
  <c r="D186" i="13"/>
  <c r="C87" i="4" s="1"/>
  <c r="D174" i="13"/>
  <c r="C75" i="4" s="1"/>
  <c r="D165" i="13"/>
  <c r="C66" i="4" s="1"/>
  <c r="D124" i="13"/>
  <c r="C25" i="4" s="1"/>
  <c r="D112" i="13"/>
  <c r="D101" i="13"/>
  <c r="D106" i="4" s="1"/>
  <c r="D82" i="13"/>
  <c r="D69" i="13"/>
  <c r="D66" i="13"/>
  <c r="B8" i="2" s="1"/>
  <c r="D56" i="13"/>
  <c r="B35" i="1" s="1"/>
  <c r="D48" i="13"/>
  <c r="D27" i="13"/>
  <c r="D24" i="1" s="1"/>
  <c r="D17" i="13"/>
  <c r="D15" i="1" s="1"/>
  <c r="D7" i="13"/>
  <c r="B5" i="1" s="1"/>
  <c r="D4" i="13"/>
  <c r="B2" i="1" s="1"/>
  <c r="D545" i="13"/>
  <c r="A228" i="12" s="1"/>
  <c r="D535" i="13"/>
  <c r="A218" i="12" s="1"/>
  <c r="D533" i="13"/>
  <c r="A216" i="12" s="1"/>
  <c r="D525" i="13"/>
  <c r="A208" i="12" s="1"/>
  <c r="D523" i="13"/>
  <c r="A206" i="12" s="1"/>
  <c r="D516" i="13"/>
  <c r="A199" i="12" s="1"/>
  <c r="D514" i="13"/>
  <c r="A197" i="12" s="1"/>
  <c r="D507" i="13"/>
  <c r="A190" i="12" s="1"/>
  <c r="D505" i="13"/>
  <c r="A188" i="12" s="1"/>
  <c r="D497" i="13"/>
  <c r="A180" i="12" s="1"/>
  <c r="D489" i="13"/>
  <c r="A172" i="12" s="1"/>
  <c r="D487" i="13"/>
  <c r="A170" i="12" s="1"/>
  <c r="D479" i="13"/>
  <c r="A162" i="12" s="1"/>
  <c r="D477" i="13"/>
  <c r="A160" i="12" s="1"/>
  <c r="D470" i="13"/>
  <c r="A153" i="12" s="1"/>
  <c r="D468" i="13"/>
  <c r="A151" i="12" s="1"/>
  <c r="D77" i="13"/>
  <c r="D490" i="13"/>
  <c r="A173" i="12" s="1"/>
  <c r="D20" i="13"/>
  <c r="D270" i="13"/>
  <c r="B6" i="11" s="1"/>
  <c r="D510" i="13"/>
  <c r="A193" i="12" s="1"/>
  <c r="D483" i="13"/>
  <c r="A166" i="12" s="1"/>
  <c r="D428" i="13"/>
  <c r="A111" i="12" s="1"/>
  <c r="D400" i="13"/>
  <c r="A83" i="12" s="1"/>
  <c r="D340" i="13"/>
  <c r="A23" i="12" s="1"/>
  <c r="D297" i="13"/>
  <c r="B7" i="3" s="1"/>
  <c r="D263" i="13"/>
  <c r="C23" i="10" s="1"/>
  <c r="D212" i="13"/>
  <c r="I2" i="6" s="1"/>
  <c r="D158" i="13"/>
  <c r="D125" i="13"/>
  <c r="C26" i="4" s="1"/>
  <c r="D51" i="13"/>
  <c r="D486" i="13"/>
  <c r="A169" i="12" s="1"/>
  <c r="D440" i="13"/>
  <c r="A123" i="12" s="1"/>
  <c r="D412" i="13"/>
  <c r="A95" i="12" s="1"/>
  <c r="D367" i="13"/>
  <c r="A50" i="12" s="1"/>
  <c r="D341" i="13"/>
  <c r="A24" i="12" s="1"/>
  <c r="D322" i="13"/>
  <c r="D40" i="3" s="1"/>
  <c r="D282" i="13"/>
  <c r="B18" i="11" s="1"/>
  <c r="D256" i="13"/>
  <c r="C16" i="10" s="1"/>
  <c r="D218" i="13"/>
  <c r="K7" i="6" s="1"/>
  <c r="D190" i="13"/>
  <c r="C91" i="4" s="1"/>
  <c r="D179" i="13"/>
  <c r="C80" i="4" s="1"/>
  <c r="D172" i="13"/>
  <c r="C73" i="4" s="1"/>
  <c r="D151" i="13"/>
  <c r="C52" i="4" s="1"/>
  <c r="D121" i="13"/>
  <c r="C22" i="4" s="1"/>
  <c r="D108" i="13"/>
  <c r="D100" i="13"/>
  <c r="D105" i="4" s="1"/>
  <c r="E61" i="4" s="1"/>
  <c r="D72" i="13"/>
  <c r="D68" i="13"/>
  <c r="B10" i="2" s="1"/>
  <c r="D60" i="13"/>
  <c r="B40" i="1" s="1"/>
  <c r="D44" i="13"/>
  <c r="D34" i="13"/>
  <c r="B21" i="1" s="1"/>
  <c r="D26" i="13"/>
  <c r="D23" i="1" s="1"/>
  <c r="D9" i="13"/>
  <c r="B8" i="1" s="1"/>
  <c r="D6" i="13"/>
  <c r="B3" i="1" s="1"/>
  <c r="D1" i="13"/>
  <c r="D448" i="13"/>
  <c r="A131" i="12" s="1"/>
  <c r="D330" i="13"/>
  <c r="F53" i="4" s="1"/>
  <c r="D146" i="13"/>
  <c r="C47" i="4" s="1"/>
  <c r="D532" i="13"/>
  <c r="A215" i="12" s="1"/>
  <c r="D217" i="13"/>
  <c r="G7" i="6" s="1"/>
  <c r="D546" i="13"/>
  <c r="A229" i="12" s="1"/>
  <c r="D524" i="13"/>
  <c r="A207" i="12" s="1"/>
  <c r="D506" i="13"/>
  <c r="A189" i="12" s="1"/>
  <c r="D480" i="13"/>
  <c r="A163" i="12" s="1"/>
  <c r="D461" i="13"/>
  <c r="A144" i="12" s="1"/>
  <c r="D452" i="13"/>
  <c r="A135" i="12" s="1"/>
  <c r="D442" i="13"/>
  <c r="A125" i="12" s="1"/>
  <c r="D433" i="13"/>
  <c r="A116" i="12" s="1"/>
  <c r="D422" i="13"/>
  <c r="A105" i="12" s="1"/>
  <c r="D414" i="13"/>
  <c r="A97" i="12" s="1"/>
  <c r="D397" i="13"/>
  <c r="A80" i="12" s="1"/>
  <c r="D389" i="13"/>
  <c r="A72" i="12" s="1"/>
  <c r="D378" i="13"/>
  <c r="A61" i="12" s="1"/>
  <c r="D370" i="13"/>
  <c r="A53" i="12" s="1"/>
  <c r="D368" i="13"/>
  <c r="A51" i="12" s="1"/>
  <c r="D361" i="13"/>
  <c r="A44" i="12" s="1"/>
  <c r="D354" i="13"/>
  <c r="A37" i="12" s="1"/>
  <c r="D352" i="13"/>
  <c r="A35" i="12" s="1"/>
  <c r="D350" i="13"/>
  <c r="A33" i="12" s="1"/>
  <c r="D343" i="13"/>
  <c r="A26" i="12" s="1"/>
  <c r="D333" i="13"/>
  <c r="D326" i="13"/>
  <c r="D315" i="13"/>
  <c r="B33" i="3" s="1"/>
  <c r="D307" i="13"/>
  <c r="B21" i="3" s="1"/>
  <c r="D292" i="13"/>
  <c r="B28" i="11" s="1"/>
  <c r="D266" i="13"/>
  <c r="C26" i="10" s="1"/>
  <c r="D250" i="13"/>
  <c r="C10" i="10" s="1"/>
  <c r="D241" i="13"/>
  <c r="B3" i="7" s="1"/>
  <c r="D237" i="13"/>
  <c r="D233" i="13"/>
  <c r="D229" i="13"/>
  <c r="D225" i="13"/>
  <c r="D221" i="13"/>
  <c r="D205" i="13"/>
  <c r="A6" i="10" s="1"/>
  <c r="D200" i="13"/>
  <c r="D181" i="13"/>
  <c r="C82" i="4" s="1"/>
  <c r="D162" i="13"/>
  <c r="C63" i="4" s="1"/>
  <c r="D148" i="13"/>
  <c r="D143" i="13"/>
  <c r="D134" i="13"/>
  <c r="D129" i="13"/>
  <c r="C30" i="4" s="1"/>
  <c r="D120" i="13"/>
  <c r="C21" i="4" s="1"/>
  <c r="D61" i="13"/>
  <c r="B41" i="1" s="1"/>
  <c r="D28" i="13"/>
  <c r="B10" i="1" s="1"/>
  <c r="D2" i="13"/>
  <c r="D30" i="13"/>
  <c r="B17" i="1" s="1"/>
  <c r="D37" i="13"/>
  <c r="B24" i="1" s="1"/>
  <c r="D104" i="13"/>
  <c r="H8" i="4" s="1"/>
  <c r="D114" i="13"/>
  <c r="C15" i="4" s="1"/>
  <c r="D137" i="13"/>
  <c r="D201" i="13"/>
  <c r="D481" i="13"/>
  <c r="A164" i="12" s="1"/>
  <c r="D156" i="13"/>
  <c r="C57" i="4" s="1"/>
  <c r="D126" i="13"/>
  <c r="C27" i="4" s="1"/>
  <c r="D164" i="13"/>
  <c r="C65" i="4" s="1"/>
  <c r="D180" i="13"/>
  <c r="D390" i="13"/>
  <c r="A73" i="12" s="1"/>
  <c r="D453" i="13"/>
  <c r="A136" i="12" s="1"/>
  <c r="D500" i="13"/>
  <c r="A183" i="12" s="1"/>
  <c r="D318" i="13"/>
  <c r="B38" i="3" s="1"/>
  <c r="D539" i="13"/>
  <c r="A222" i="12" s="1"/>
  <c r="D419" i="13"/>
  <c r="A102" i="12" s="1"/>
  <c r="D289" i="13"/>
  <c r="B25" i="11" s="1"/>
  <c r="D118" i="13"/>
  <c r="C19" i="4" s="1"/>
  <c r="D386" i="13"/>
  <c r="A69" i="12" s="1"/>
  <c r="D298" i="13"/>
  <c r="B8" i="3" s="1"/>
  <c r="D160" i="13"/>
  <c r="C61" i="4" s="1"/>
  <c r="D90" i="13"/>
  <c r="B3" i="4" s="1"/>
  <c r="D53" i="13"/>
  <c r="M3" i="3" s="1"/>
  <c r="D16" i="13"/>
  <c r="D14" i="1" s="1"/>
  <c r="D544" i="13"/>
  <c r="A227" i="12" s="1"/>
  <c r="D517" i="13"/>
  <c r="A200" i="12" s="1"/>
  <c r="D498" i="13"/>
  <c r="A181" i="12" s="1"/>
  <c r="D478" i="13"/>
  <c r="A161" i="12" s="1"/>
  <c r="D460" i="13"/>
  <c r="A143" i="12" s="1"/>
  <c r="D444" i="13"/>
  <c r="A127" i="12" s="1"/>
  <c r="D441" i="13"/>
  <c r="A124" i="12" s="1"/>
  <c r="D424" i="13"/>
  <c r="A107" i="12" s="1"/>
  <c r="D416" i="13"/>
  <c r="A99" i="12" s="1"/>
  <c r="D405" i="13"/>
  <c r="A88" i="12" s="1"/>
  <c r="D396" i="13"/>
  <c r="A79" i="12" s="1"/>
  <c r="D380" i="13"/>
  <c r="A63" i="12" s="1"/>
  <c r="D377" i="13"/>
  <c r="A60" i="12" s="1"/>
  <c r="D332" i="13"/>
  <c r="D325" i="13"/>
  <c r="D317" i="13"/>
  <c r="B37" i="3" s="1"/>
  <c r="D309" i="13"/>
  <c r="B23" i="3" s="1"/>
  <c r="D299" i="13"/>
  <c r="B9" i="3" s="1"/>
  <c r="D291" i="13"/>
  <c r="B27" i="11" s="1"/>
  <c r="D284" i="13"/>
  <c r="B20" i="11" s="1"/>
  <c r="D277" i="13"/>
  <c r="B13" i="11" s="1"/>
  <c r="D275" i="13"/>
  <c r="B11" i="11" s="1"/>
  <c r="D268" i="13"/>
  <c r="B4" i="11" s="1"/>
  <c r="D260" i="13"/>
  <c r="C20" i="10" s="1"/>
  <c r="D257" i="13"/>
  <c r="C17" i="10" s="1"/>
  <c r="D249" i="13"/>
  <c r="C9" i="10" s="1"/>
  <c r="D240" i="13"/>
  <c r="D236" i="13"/>
  <c r="D232" i="13"/>
  <c r="D228" i="13"/>
  <c r="B23" i="8" s="1"/>
  <c r="D224" i="13"/>
  <c r="D204" i="13"/>
  <c r="A2" i="10" s="1"/>
  <c r="D196" i="13"/>
  <c r="D176" i="13"/>
  <c r="D157" i="13"/>
  <c r="C58" i="4" s="1"/>
  <c r="D87" i="13"/>
  <c r="D49" i="13"/>
  <c r="D18" i="13"/>
  <c r="D16" i="1" s="1"/>
  <c r="D3" i="13"/>
  <c r="D171" i="13"/>
  <c r="D261" i="13"/>
  <c r="C21" i="10" s="1"/>
  <c r="D508" i="13"/>
  <c r="A191" i="12" s="1"/>
  <c r="D54" i="13"/>
  <c r="B33" i="1" s="1"/>
  <c r="D189" i="13"/>
  <c r="D252" i="13"/>
  <c r="C12" i="10" s="1"/>
  <c r="D294" i="13"/>
  <c r="B30" i="11" s="1"/>
  <c r="D363" i="13"/>
  <c r="A46" i="12" s="1"/>
  <c r="D436" i="13"/>
  <c r="A119" i="12" s="1"/>
  <c r="D502" i="13"/>
  <c r="A185" i="12" s="1"/>
  <c r="D254" i="13"/>
  <c r="C14" i="10" s="1"/>
  <c r="D92" i="13"/>
  <c r="D458" i="13"/>
  <c r="A141" i="12" s="1"/>
  <c r="D359" i="13"/>
  <c r="A42" i="12" s="1"/>
  <c r="D274" i="13"/>
  <c r="B10" i="11" s="1"/>
  <c r="D184" i="13"/>
  <c r="C85" i="4" s="1"/>
  <c r="D135" i="13"/>
  <c r="C36" i="4" s="1"/>
  <c r="D71" i="13"/>
  <c r="D43" i="13"/>
  <c r="B31" i="1" s="1"/>
  <c r="D8" i="13"/>
  <c r="B6" i="1" s="1"/>
  <c r="D534" i="13"/>
  <c r="A217" i="12" s="1"/>
  <c r="D515" i="13"/>
  <c r="A198" i="12" s="1"/>
  <c r="D496" i="13"/>
  <c r="A179" i="12" s="1"/>
  <c r="D471" i="13"/>
  <c r="A154" i="12" s="1"/>
  <c r="D451" i="13"/>
  <c r="A134" i="12" s="1"/>
  <c r="D443" i="13"/>
  <c r="A126" i="12" s="1"/>
  <c r="D432" i="13"/>
  <c r="A115" i="12" s="1"/>
  <c r="D423" i="13"/>
  <c r="A106" i="12" s="1"/>
  <c r="D413" i="13"/>
  <c r="A96" i="12" s="1"/>
  <c r="D404" i="13"/>
  <c r="A87" i="12" s="1"/>
  <c r="D388" i="13"/>
  <c r="A71" i="12" s="1"/>
  <c r="D379" i="13"/>
  <c r="A62" i="12" s="1"/>
  <c r="D369" i="13"/>
  <c r="A52" i="12" s="1"/>
  <c r="D362" i="13"/>
  <c r="A45" i="12" s="1"/>
  <c r="D360" i="13"/>
  <c r="A43" i="12" s="1"/>
  <c r="D353" i="13"/>
  <c r="A36" i="12" s="1"/>
  <c r="D351" i="13"/>
  <c r="A34" i="12" s="1"/>
  <c r="D344" i="13"/>
  <c r="A27" i="12" s="1"/>
  <c r="D342" i="13"/>
  <c r="D328" i="13"/>
  <c r="D324" i="13"/>
  <c r="H39" i="5" s="1"/>
  <c r="C46" i="3" s="1"/>
  <c r="D316" i="13"/>
  <c r="B34" i="3" s="1"/>
  <c r="D301" i="13"/>
  <c r="D9" i="3" s="1"/>
  <c r="D293" i="13"/>
  <c r="B29" i="11" s="1"/>
  <c r="D259" i="13"/>
  <c r="C19" i="10" s="1"/>
  <c r="D251" i="13"/>
  <c r="C11" i="10" s="1"/>
  <c r="D239" i="13"/>
  <c r="D235" i="13"/>
  <c r="D231" i="13"/>
  <c r="D227" i="13"/>
  <c r="D223" i="13"/>
  <c r="D220" i="13"/>
  <c r="D203" i="13"/>
  <c r="D195" i="13"/>
  <c r="B4" i="3" s="1"/>
  <c r="D167" i="13"/>
  <c r="D141" i="13"/>
  <c r="C42" i="4" s="1"/>
  <c r="D131" i="13"/>
  <c r="C32" i="4" s="1"/>
  <c r="D127" i="13"/>
  <c r="D116" i="13"/>
  <c r="B116" i="13" s="1"/>
  <c r="K8" i="6" s="1"/>
  <c r="D73" i="13"/>
  <c r="B14" i="2" s="1"/>
  <c r="D45" i="13"/>
  <c r="D10" i="13"/>
  <c r="B9" i="1" s="1"/>
  <c r="D29" i="13"/>
  <c r="B11" i="1" s="1"/>
  <c r="D31" i="13"/>
  <c r="B18" i="1" s="1"/>
  <c r="D39" i="13"/>
  <c r="D105" i="13"/>
  <c r="I8" i="4" s="1"/>
  <c r="D119" i="13"/>
  <c r="D154" i="13"/>
  <c r="C55" i="4" s="1"/>
  <c r="D187" i="13"/>
  <c r="C88" i="4" s="1"/>
  <c r="D398" i="13"/>
  <c r="A81" i="12" s="1"/>
  <c r="D518" i="13"/>
  <c r="A201" i="12" s="1"/>
  <c r="D110" i="13"/>
  <c r="C11" i="4" s="1"/>
  <c r="D173" i="13"/>
  <c r="C74" i="4" s="1"/>
  <c r="D197" i="13"/>
  <c r="D183" i="13"/>
  <c r="C84" i="4" s="1"/>
  <c r="D462" i="13"/>
  <c r="A145" i="12" s="1"/>
  <c r="D242" i="13"/>
  <c r="B3" i="8" s="1"/>
  <c r="D445" i="13"/>
  <c r="A128" i="12" s="1"/>
  <c r="D150" i="13"/>
  <c r="C51" i="4" s="1"/>
  <c r="D219" i="13"/>
  <c r="D234" i="13"/>
  <c r="D258" i="13"/>
  <c r="C18" i="10" s="1"/>
  <c r="D283" i="13"/>
  <c r="B19" i="11" s="1"/>
  <c r="D308" i="13"/>
  <c r="B22" i="3" s="1"/>
  <c r="D406" i="13"/>
  <c r="A89" i="12" s="1"/>
  <c r="D434" i="13"/>
  <c r="A117" i="12" s="1"/>
  <c r="D469" i="13"/>
  <c r="A152" i="12" s="1"/>
  <c r="D177" i="13"/>
  <c r="C78" i="4" s="1"/>
  <c r="D40" i="13"/>
  <c r="B26" i="1" s="1"/>
  <c r="D62" i="13"/>
  <c r="B3" i="2" s="1"/>
  <c r="D426" i="13"/>
  <c r="A109" i="12" s="1"/>
  <c r="D58" i="13"/>
  <c r="B37" i="1" s="1"/>
  <c r="D537" i="13"/>
  <c r="A220" i="12" s="1"/>
  <c r="D435" i="13"/>
  <c r="A118" i="12" s="1"/>
  <c r="D178" i="13"/>
  <c r="C79" i="4" s="1"/>
  <c r="D84" i="13"/>
  <c r="D36" i="13"/>
  <c r="B23" i="1" s="1"/>
  <c r="D222" i="13"/>
  <c r="D238" i="13"/>
  <c r="D267" i="13"/>
  <c r="D285" i="13"/>
  <c r="B21" i="11" s="1"/>
  <c r="D387" i="13"/>
  <c r="A70" i="12" s="1"/>
  <c r="D415" i="13"/>
  <c r="A98" i="12" s="1"/>
  <c r="D488" i="13"/>
  <c r="A171" i="12" s="1"/>
  <c r="D33" i="13"/>
  <c r="B20" i="1" s="1"/>
  <c r="D209" i="13"/>
  <c r="N69" i="4"/>
  <c r="N41" i="4"/>
  <c r="N15" i="4"/>
  <c r="D334" i="13"/>
  <c r="D337" i="13"/>
  <c r="N74" i="4"/>
  <c r="M35" i="4"/>
  <c r="O35" i="4"/>
  <c r="L35" i="4" s="1"/>
  <c r="F35" i="4"/>
  <c r="N72" i="4"/>
  <c r="N44" i="4"/>
  <c r="D13" i="4"/>
  <c r="F13" i="4"/>
  <c r="O13" i="4"/>
  <c r="L13" i="4" s="1"/>
  <c r="O64" i="4"/>
  <c r="L64" i="4" s="1"/>
  <c r="D64" i="4"/>
  <c r="C39" i="4"/>
  <c r="B138" i="13"/>
  <c r="C12" i="6" s="1"/>
  <c r="B22" i="7"/>
  <c r="D49" i="4"/>
  <c r="D77" i="4"/>
  <c r="F77" i="4"/>
  <c r="D39" i="4"/>
  <c r="O39" i="4"/>
  <c r="L39" i="4" s="1"/>
  <c r="F39" i="4"/>
  <c r="D81" i="4"/>
  <c r="F81" i="4"/>
  <c r="M42" i="4"/>
  <c r="N42" i="4" s="1"/>
  <c r="F10" i="4"/>
  <c r="N83" i="4"/>
  <c r="K45" i="4"/>
  <c r="M92" i="4"/>
  <c r="N92" i="4" s="1"/>
  <c r="K68" i="4"/>
  <c r="K78" i="4"/>
  <c r="K24" i="4"/>
  <c r="K60" i="4"/>
  <c r="M33" i="4"/>
  <c r="N33" i="4" s="1"/>
  <c r="K40" i="4"/>
  <c r="K153" i="15"/>
  <c r="K3" i="15"/>
  <c r="I5" i="15"/>
  <c r="C24" i="12" s="1"/>
  <c r="K103" i="15"/>
  <c r="K200" i="15"/>
  <c r="K57" i="15"/>
  <c r="F91" i="4" l="1"/>
  <c r="B12" i="3"/>
  <c r="F15" i="5" s="1"/>
  <c r="E15" i="5" s="1"/>
  <c r="J5" i="12" s="1"/>
  <c r="B11" i="3"/>
  <c r="F14" i="5" s="1"/>
  <c r="E14" i="5" s="1"/>
  <c r="J4" i="12" s="1"/>
  <c r="B10" i="3"/>
  <c r="F13" i="5" s="1"/>
  <c r="E13" i="5" s="1"/>
  <c r="J3" i="12" s="1"/>
  <c r="D10" i="3"/>
  <c r="B2" i="4"/>
  <c r="B14" i="3"/>
  <c r="F17" i="5" s="1"/>
  <c r="E17" i="5" s="1"/>
  <c r="J7" i="12" s="1"/>
  <c r="D11" i="3"/>
  <c r="B20" i="7"/>
  <c r="A25" i="12"/>
  <c r="B19" i="7"/>
  <c r="C17" i="4"/>
  <c r="B38" i="9"/>
  <c r="F71" i="4"/>
  <c r="F66" i="4"/>
  <c r="E82" i="4"/>
  <c r="F89" i="4"/>
  <c r="F79" i="4"/>
  <c r="F80" i="4"/>
  <c r="F12" i="4"/>
  <c r="E35" i="4"/>
  <c r="F87" i="4"/>
  <c r="F52" i="4"/>
  <c r="C24" i="4"/>
  <c r="F75" i="4"/>
  <c r="B43" i="3"/>
  <c r="F37" i="5" s="1"/>
  <c r="H37" i="5" s="1"/>
  <c r="A36" i="11" s="1"/>
  <c r="N35" i="4"/>
  <c r="C60" i="4"/>
  <c r="C23" i="4"/>
  <c r="D15" i="3"/>
  <c r="B30" i="3"/>
  <c r="H27" i="5" s="1"/>
  <c r="A1" i="10"/>
  <c r="B119" i="13"/>
  <c r="O8" i="6" s="1"/>
  <c r="C20" i="4"/>
  <c r="B167" i="13"/>
  <c r="K14" i="6" s="1"/>
  <c r="C68" i="4"/>
  <c r="C77" i="4"/>
  <c r="B176" i="13"/>
  <c r="C16" i="6" s="1"/>
  <c r="C81" i="4"/>
  <c r="B180" i="13"/>
  <c r="G16" i="6" s="1"/>
  <c r="C35" i="4"/>
  <c r="B134" i="13"/>
  <c r="O10" i="6" s="1"/>
  <c r="C59" i="4"/>
  <c r="B14" i="6"/>
  <c r="B21" i="8"/>
  <c r="B158" i="13"/>
  <c r="B36" i="3" s="1"/>
  <c r="B15" i="2"/>
  <c r="B19" i="2"/>
  <c r="C86" i="4"/>
  <c r="B185" i="13"/>
  <c r="K16" i="6" s="1"/>
  <c r="A4" i="10"/>
  <c r="B244" i="13"/>
  <c r="C28" i="4"/>
  <c r="B127" i="13"/>
  <c r="G10" i="6" s="1"/>
  <c r="C44" i="4"/>
  <c r="B143" i="13"/>
  <c r="G12" i="6" s="1"/>
  <c r="B5" i="4"/>
  <c r="B5" i="6"/>
  <c r="B2" i="2"/>
  <c r="B2" i="8"/>
  <c r="B2" i="6"/>
  <c r="B2" i="9"/>
  <c r="B2" i="3"/>
  <c r="B2" i="7"/>
  <c r="C7" i="6"/>
  <c r="B18" i="7"/>
  <c r="B16" i="2"/>
  <c r="B20" i="2"/>
  <c r="L13" i="6"/>
  <c r="H15" i="6"/>
  <c r="D18" i="8"/>
  <c r="P11" i="6"/>
  <c r="D23" i="8"/>
  <c r="D19" i="7"/>
  <c r="D22" i="7"/>
  <c r="D38" i="9"/>
  <c r="D25" i="9"/>
  <c r="D17" i="6"/>
  <c r="D22" i="9"/>
  <c r="D30" i="9"/>
  <c r="P15" i="6"/>
  <c r="D13" i="6"/>
  <c r="D21" i="9"/>
  <c r="D35" i="9"/>
  <c r="D27" i="9"/>
  <c r="D11" i="6"/>
  <c r="H9" i="6"/>
  <c r="D32" i="9"/>
  <c r="D9" i="6"/>
  <c r="D22" i="8"/>
  <c r="D19" i="9"/>
  <c r="H11" i="6"/>
  <c r="D20" i="9"/>
  <c r="D36" i="9"/>
  <c r="P13" i="6"/>
  <c r="P9" i="6"/>
  <c r="D33" i="9"/>
  <c r="D24" i="9"/>
  <c r="D21" i="7"/>
  <c r="D15" i="6"/>
  <c r="D37" i="9"/>
  <c r="D23" i="9"/>
  <c r="D20" i="7"/>
  <c r="D34" i="9"/>
  <c r="L9" i="6"/>
  <c r="H17" i="6"/>
  <c r="D19" i="8"/>
  <c r="L15" i="6"/>
  <c r="D26" i="9"/>
  <c r="D18" i="7"/>
  <c r="L17" i="6"/>
  <c r="D29" i="9"/>
  <c r="D21" i="8"/>
  <c r="H13" i="6"/>
  <c r="D31" i="9"/>
  <c r="D20" i="8"/>
  <c r="L11" i="6"/>
  <c r="D28" i="9"/>
  <c r="D18" i="9"/>
  <c r="P17" i="6"/>
  <c r="B32" i="3"/>
  <c r="D14" i="3"/>
  <c r="B41" i="3"/>
  <c r="F35" i="5" s="1"/>
  <c r="H35" i="5" s="1"/>
  <c r="D12" i="3"/>
  <c r="B42" i="3"/>
  <c r="F36" i="5" s="1"/>
  <c r="H36" i="5" s="1"/>
  <c r="A35" i="11" s="1"/>
  <c r="B31" i="3"/>
  <c r="B13" i="3"/>
  <c r="F16" i="5" s="1"/>
  <c r="E16" i="5" s="1"/>
  <c r="J6" i="12" s="1"/>
  <c r="D13" i="3"/>
  <c r="C90" i="4"/>
  <c r="B189" i="13"/>
  <c r="O16" i="6" s="1"/>
  <c r="C72" i="4"/>
  <c r="B171" i="13"/>
  <c r="O14" i="6" s="1"/>
  <c r="B137" i="13"/>
  <c r="B25" i="3" s="1"/>
  <c r="B12" i="6"/>
  <c r="B20" i="8"/>
  <c r="C38" i="4"/>
  <c r="B148" i="13"/>
  <c r="K12" i="6" s="1"/>
  <c r="C49" i="4"/>
  <c r="B130" i="13"/>
  <c r="K10" i="6" s="1"/>
  <c r="C31" i="4"/>
  <c r="B153" i="13"/>
  <c r="O12" i="6" s="1"/>
  <c r="C54" i="4"/>
  <c r="B19" i="8"/>
  <c r="B122" i="13"/>
  <c r="B17" i="3" s="1"/>
  <c r="B163" i="13"/>
  <c r="G14" i="6" s="1"/>
  <c r="C64" i="4"/>
  <c r="E13" i="12"/>
  <c r="F13" i="12" s="1"/>
  <c r="C76" i="4"/>
  <c r="B175" i="13"/>
  <c r="B45" i="3" s="1"/>
  <c r="B22" i="8"/>
  <c r="B16" i="6"/>
  <c r="B21" i="7"/>
  <c r="O7" i="6"/>
  <c r="I4" i="6"/>
  <c r="F4" i="4"/>
  <c r="B95" i="4"/>
  <c r="B17" i="9"/>
  <c r="B17" i="8"/>
  <c r="B17" i="7"/>
  <c r="F37" i="4"/>
  <c r="F30" i="4"/>
  <c r="F58" i="4"/>
  <c r="F19" i="4"/>
  <c r="F84" i="4"/>
  <c r="F63" i="4"/>
  <c r="F67" i="4"/>
  <c r="F48" i="4"/>
  <c r="F43" i="4"/>
  <c r="F16" i="4"/>
  <c r="F85" i="4"/>
  <c r="F93" i="4"/>
  <c r="F34" i="4"/>
  <c r="C9" i="4"/>
  <c r="B8" i="6"/>
  <c r="B108" i="13"/>
  <c r="B6" i="3" s="1"/>
  <c r="B18" i="8"/>
  <c r="C13" i="4"/>
  <c r="B112" i="13"/>
  <c r="G8" i="6" s="1"/>
  <c r="F61" i="4"/>
  <c r="F82" i="4"/>
  <c r="F46" i="4"/>
  <c r="F56" i="4"/>
  <c r="F26" i="4"/>
  <c r="F25" i="4"/>
  <c r="F74" i="4"/>
  <c r="F27" i="4"/>
  <c r="F45" i="4"/>
  <c r="F78" i="4"/>
  <c r="F83" i="4"/>
  <c r="F55" i="4"/>
  <c r="F42" i="4"/>
  <c r="F88" i="4"/>
  <c r="F73" i="4"/>
  <c r="F50" i="4"/>
  <c r="F21" i="4"/>
  <c r="F69" i="4"/>
  <c r="F92" i="4"/>
  <c r="F15" i="4"/>
  <c r="F51" i="4"/>
  <c r="F36" i="4"/>
  <c r="F57" i="4"/>
  <c r="F14" i="4"/>
  <c r="F18" i="4"/>
  <c r="F70" i="4"/>
  <c r="F47" i="4"/>
  <c r="F41" i="4"/>
  <c r="F40" i="4"/>
  <c r="F29" i="4"/>
  <c r="F62" i="4"/>
  <c r="F33" i="4"/>
  <c r="F32" i="4"/>
  <c r="F22" i="4"/>
  <c r="F11" i="4"/>
  <c r="B109" i="13"/>
  <c r="C8" i="6" s="1"/>
  <c r="C10" i="4"/>
  <c r="E56" i="4"/>
  <c r="E66" i="4"/>
  <c r="E47" i="4"/>
  <c r="E91" i="4"/>
  <c r="E26" i="4"/>
  <c r="E52" i="4"/>
  <c r="E69" i="4"/>
  <c r="E87" i="4"/>
  <c r="E73" i="4"/>
  <c r="E41" i="4"/>
  <c r="E88" i="4"/>
  <c r="E79" i="4"/>
  <c r="E32" i="4"/>
  <c r="E25" i="4"/>
  <c r="E62" i="4"/>
  <c r="E78" i="4"/>
  <c r="E92" i="4"/>
  <c r="E51" i="4"/>
  <c r="E72" i="4"/>
  <c r="E44" i="4"/>
  <c r="E14" i="4"/>
  <c r="E70" i="4"/>
  <c r="E21" i="4"/>
  <c r="E42" i="4"/>
  <c r="E65" i="4"/>
  <c r="E55" i="4"/>
  <c r="E15" i="4"/>
  <c r="E28" i="4"/>
  <c r="E50" i="4"/>
  <c r="E22" i="4"/>
  <c r="E74" i="4"/>
  <c r="E83" i="4"/>
  <c r="E27" i="4"/>
  <c r="E46" i="4"/>
  <c r="E57" i="4"/>
  <c r="E33" i="4"/>
  <c r="E45" i="4"/>
  <c r="C11" i="3"/>
  <c r="G14" i="5" s="1"/>
  <c r="K4" i="12" s="1"/>
  <c r="C10" i="3"/>
  <c r="G13" i="5" s="1"/>
  <c r="K3" i="12" s="1"/>
  <c r="C14" i="3"/>
  <c r="G17" i="5" s="1"/>
  <c r="K7" i="12" s="1"/>
  <c r="C12" i="3"/>
  <c r="G15" i="5" s="1"/>
  <c r="K5" i="12" s="1"/>
  <c r="E77" i="4"/>
  <c r="M41" i="5"/>
  <c r="M66" i="5" s="1"/>
  <c r="M77" i="4"/>
  <c r="M13" i="4"/>
  <c r="N13" i="4" s="1"/>
  <c r="N14" i="5"/>
  <c r="E13" i="4"/>
  <c r="I54" i="15"/>
  <c r="C79" i="12" s="1"/>
  <c r="I53" i="15"/>
  <c r="C72" i="12" s="1"/>
  <c r="C238" i="12"/>
  <c r="I56" i="15"/>
  <c r="C198" i="12" s="1"/>
  <c r="I52" i="15"/>
  <c r="C130" i="12" s="1"/>
  <c r="I4" i="15"/>
  <c r="C237" i="12" s="1"/>
  <c r="I55" i="15"/>
  <c r="C196" i="12" s="1"/>
  <c r="I3" i="15"/>
  <c r="C199" i="12" s="1"/>
  <c r="H18" i="5"/>
  <c r="D8" i="12" s="1"/>
  <c r="L7" i="12"/>
  <c r="M7" i="12" s="1"/>
  <c r="O7" i="12"/>
  <c r="P7" i="12" s="1"/>
  <c r="M10" i="4"/>
  <c r="N10" i="4" s="1"/>
  <c r="M14" i="5"/>
  <c r="E10" i="4"/>
  <c r="M39" i="4"/>
  <c r="N39" i="4" s="1"/>
  <c r="E39" i="4"/>
  <c r="M28" i="5"/>
  <c r="E49" i="4"/>
  <c r="O28" i="5"/>
  <c r="M49" i="4"/>
  <c r="N49" i="4" s="1"/>
  <c r="I36" i="11"/>
  <c r="J36" i="11" s="1"/>
  <c r="L36" i="11"/>
  <c r="M81" i="4"/>
  <c r="N81" i="4" s="1"/>
  <c r="E81" i="4"/>
  <c r="N41" i="5"/>
  <c r="N66" i="5" s="1"/>
  <c r="C239" i="12"/>
  <c r="I101" i="15"/>
  <c r="C228" i="12" s="1"/>
  <c r="I97" i="15"/>
  <c r="C178" i="12" s="1"/>
  <c r="I93" i="15"/>
  <c r="C67" i="12" s="1"/>
  <c r="I100" i="15"/>
  <c r="C227" i="12" s="1"/>
  <c r="I96" i="15"/>
  <c r="C140" i="12" s="1"/>
  <c r="I92" i="15"/>
  <c r="C66" i="12" s="1"/>
  <c r="I99" i="15"/>
  <c r="C208" i="12" s="1"/>
  <c r="I95" i="15"/>
  <c r="C99" i="12" s="1"/>
  <c r="I91" i="15"/>
  <c r="C46" i="12" s="1"/>
  <c r="I102" i="15"/>
  <c r="C229" i="12" s="1"/>
  <c r="I98" i="15"/>
  <c r="C205" i="12" s="1"/>
  <c r="I94" i="15"/>
  <c r="C68" i="12" s="1"/>
  <c r="I90" i="15"/>
  <c r="C22" i="12" s="1"/>
  <c r="N35" i="5"/>
  <c r="N65" i="5" s="1"/>
  <c r="M64" i="4"/>
  <c r="N64" i="4" s="1"/>
  <c r="E64" i="4"/>
  <c r="I217" i="15"/>
  <c r="C161" i="12" s="1"/>
  <c r="I218" i="15"/>
  <c r="C183" i="12" s="1"/>
  <c r="C242" i="12"/>
  <c r="I216" i="15"/>
  <c r="C154" i="12" s="1"/>
  <c r="I215" i="15"/>
  <c r="C101" i="12" s="1"/>
  <c r="I214" i="15"/>
  <c r="C30" i="12" s="1"/>
  <c r="C240" i="12"/>
  <c r="I150" i="15"/>
  <c r="C179" i="12" s="1"/>
  <c r="I103" i="15"/>
  <c r="C182" i="12" s="1"/>
  <c r="I152" i="15"/>
  <c r="C234" i="12" s="1"/>
  <c r="I151" i="15"/>
  <c r="C207" i="12" s="1"/>
  <c r="C241" i="12"/>
  <c r="I198" i="15"/>
  <c r="C133" i="12" s="1"/>
  <c r="I194" i="15"/>
  <c r="C26" i="12" s="1"/>
  <c r="I197" i="15"/>
  <c r="C109" i="12" s="1"/>
  <c r="I196" i="15"/>
  <c r="C92" i="12" s="1"/>
  <c r="I195" i="15"/>
  <c r="C86" i="12" s="1"/>
  <c r="I199" i="15"/>
  <c r="C142" i="12" s="1"/>
  <c r="F60" i="4"/>
  <c r="O60" i="4"/>
  <c r="L60" i="4" s="1"/>
  <c r="D60" i="4"/>
  <c r="D10" i="12"/>
  <c r="L3" i="12" l="1"/>
  <c r="M3" i="12" s="1"/>
  <c r="O3" i="12"/>
  <c r="P3" i="12" s="1"/>
  <c r="L4" i="12"/>
  <c r="M4" i="12" s="1"/>
  <c r="O4" i="12"/>
  <c r="P4" i="12" s="1"/>
  <c r="L5" i="12"/>
  <c r="M5" i="12" s="1"/>
  <c r="O5" i="12"/>
  <c r="P5" i="12" s="1"/>
  <c r="H14" i="5"/>
  <c r="D4" i="12" s="1"/>
  <c r="H15" i="5"/>
  <c r="D5" i="12" s="1"/>
  <c r="L6" i="12"/>
  <c r="M6" i="12" s="1"/>
  <c r="O6" i="12"/>
  <c r="P6" i="12" s="1"/>
  <c r="O24" i="5"/>
  <c r="P43" i="5"/>
  <c r="A34" i="11"/>
  <c r="M24" i="5"/>
  <c r="H16" i="5"/>
  <c r="D6" i="12" s="1"/>
  <c r="D11" i="12"/>
  <c r="H28" i="5"/>
  <c r="H17" i="5"/>
  <c r="D7" i="12" s="1"/>
  <c r="H13" i="5"/>
  <c r="D3" i="12" s="1"/>
  <c r="I35" i="11"/>
  <c r="J35" i="11" s="1"/>
  <c r="L35" i="11"/>
  <c r="D12" i="12"/>
  <c r="H29" i="5"/>
  <c r="E60" i="4"/>
  <c r="M60" i="4"/>
  <c r="N60" i="4" s="1"/>
  <c r="M35" i="5"/>
  <c r="M65" i="5" s="1"/>
  <c r="E10" i="12"/>
  <c r="F10" i="12" s="1"/>
  <c r="I10" i="12"/>
  <c r="I8" i="12"/>
  <c r="E8" i="12"/>
  <c r="F8" i="12" s="1"/>
  <c r="I7" i="12" l="1"/>
  <c r="E7" i="12"/>
  <c r="F7" i="12" s="1"/>
  <c r="O90" i="4"/>
  <c r="L90" i="4" s="1"/>
  <c r="D90" i="4"/>
  <c r="E3" i="12"/>
  <c r="F3" i="12" s="1"/>
  <c r="I3" i="12"/>
  <c r="E6" i="12"/>
  <c r="F6" i="12" s="1"/>
  <c r="I6" i="12"/>
  <c r="O31" i="4"/>
  <c r="L31" i="4" s="1"/>
  <c r="D31" i="4"/>
  <c r="F31" i="4"/>
  <c r="E5" i="12"/>
  <c r="F5" i="12" s="1"/>
  <c r="I5" i="12"/>
  <c r="I12" i="12"/>
  <c r="E12" i="12"/>
  <c r="F12" i="12" s="1"/>
  <c r="I11" i="12"/>
  <c r="E11" i="12"/>
  <c r="F11" i="12" s="1"/>
  <c r="G10" i="12" s="1"/>
  <c r="O24" i="4"/>
  <c r="L24" i="4" s="1"/>
  <c r="F24" i="4"/>
  <c r="D24" i="4"/>
  <c r="I4" i="12"/>
  <c r="E4" i="12"/>
  <c r="F4" i="12" s="1"/>
  <c r="I34" i="11"/>
  <c r="J34" i="11" s="1"/>
  <c r="J38" i="11" s="1"/>
  <c r="J39" i="11" s="1"/>
  <c r="S37" i="5" s="1"/>
  <c r="L34" i="11"/>
  <c r="L38" i="11" s="1"/>
  <c r="L39" i="11" s="1"/>
  <c r="S43" i="5" s="1"/>
  <c r="I14" i="12" l="1"/>
  <c r="P30" i="5" s="1"/>
  <c r="O54" i="4" s="1"/>
  <c r="L54" i="4" s="1"/>
  <c r="G3" i="12"/>
  <c r="H8" i="12" s="1"/>
  <c r="O22" i="5"/>
  <c r="M31" i="4"/>
  <c r="N31" i="4" s="1"/>
  <c r="E31" i="4"/>
  <c r="M22" i="5"/>
  <c r="E24" i="4"/>
  <c r="M24" i="4"/>
  <c r="N24" i="4" s="1"/>
  <c r="O37" i="5"/>
  <c r="O43" i="5"/>
  <c r="E90" i="4"/>
  <c r="M90" i="4"/>
  <c r="N90" i="4" s="1"/>
  <c r="P41" i="5"/>
  <c r="P66" i="5" s="1"/>
  <c r="I50" i="5"/>
  <c r="J50" i="5" s="1"/>
  <c r="K50" i="5" s="1"/>
  <c r="H3" i="12" l="1"/>
  <c r="H5" i="12"/>
  <c r="I51" i="5"/>
  <c r="J51" i="5" s="1"/>
  <c r="K51" i="5" s="1"/>
  <c r="K64" i="5" s="1"/>
  <c r="H4" i="12"/>
  <c r="N4" i="12" s="1"/>
  <c r="I49" i="5"/>
  <c r="J49" i="5" s="1"/>
  <c r="K49" i="5" s="1"/>
  <c r="K10" i="5" s="1"/>
  <c r="H7" i="12"/>
  <c r="N7" i="12" s="1"/>
  <c r="H6" i="12"/>
  <c r="Q6" i="12" s="1"/>
  <c r="D54" i="4"/>
  <c r="F54" i="4"/>
  <c r="O86" i="4"/>
  <c r="L86" i="4" s="1"/>
  <c r="D86" i="4"/>
  <c r="D68" i="4"/>
  <c r="L77" i="4"/>
  <c r="N77" i="4" s="1"/>
  <c r="F68" i="4"/>
  <c r="O68" i="4"/>
  <c r="L68" i="4" s="1"/>
  <c r="N3" i="12"/>
  <c r="Q3" i="12"/>
  <c r="N5" i="12"/>
  <c r="Q5" i="12"/>
  <c r="K63" i="5"/>
  <c r="K19" i="5"/>
  <c r="Q4" i="12" l="1"/>
  <c r="K62" i="5"/>
  <c r="K25" i="5"/>
  <c r="H10" i="12"/>
  <c r="Q7" i="12"/>
  <c r="I9" i="12"/>
  <c r="P16" i="5" s="1"/>
  <c r="D20" i="4" s="1"/>
  <c r="Q8" i="12"/>
  <c r="N6" i="12"/>
  <c r="N8" i="12"/>
  <c r="O16" i="5" s="1"/>
  <c r="F17" i="4" s="1"/>
  <c r="P28" i="5"/>
  <c r="P64" i="5" s="1"/>
  <c r="E54" i="4"/>
  <c r="M54" i="4"/>
  <c r="N54" i="4" s="1"/>
  <c r="M68" i="4"/>
  <c r="N68" i="4" s="1"/>
  <c r="O35" i="5"/>
  <c r="O65" i="5" s="1"/>
  <c r="Q65" i="5" s="1"/>
  <c r="E68" i="4"/>
  <c r="E86" i="4"/>
  <c r="M86" i="4"/>
  <c r="N86" i="4" s="1"/>
  <c r="O41" i="5"/>
  <c r="O66" i="5" s="1"/>
  <c r="Q66" i="5" s="1"/>
  <c r="M62" i="5"/>
  <c r="N62" i="5"/>
  <c r="N63" i="5"/>
  <c r="P63" i="5"/>
  <c r="O63" i="5"/>
  <c r="M63" i="5"/>
  <c r="N64" i="5"/>
  <c r="O64" i="5"/>
  <c r="M64" i="5"/>
  <c r="F20" i="4" l="1"/>
  <c r="O20" i="4"/>
  <c r="L20" i="4" s="1"/>
  <c r="O17" i="4"/>
  <c r="L17" i="4" s="1"/>
  <c r="D17" i="4"/>
  <c r="O14" i="5" s="1"/>
  <c r="O62" i="5" s="1"/>
  <c r="Q64" i="5"/>
  <c r="Q63" i="5"/>
  <c r="N67" i="5"/>
  <c r="E20" i="4"/>
  <c r="P14" i="5"/>
  <c r="P62" i="5" s="1"/>
  <c r="M20" i="4"/>
  <c r="N20" i="4" s="1"/>
  <c r="M67" i="5"/>
  <c r="M17" i="4" l="1"/>
  <c r="N17" i="4" s="1"/>
  <c r="E17" i="4"/>
  <c r="Q62" i="5"/>
  <c r="Q67" i="5" s="1"/>
  <c r="O51" i="5" s="1"/>
  <c r="O29" i="5" s="1"/>
  <c r="J49" i="4" s="1"/>
  <c r="M13" i="6" s="1"/>
  <c r="E28" i="9" s="1"/>
  <c r="O67" i="5"/>
  <c r="P67" i="5"/>
  <c r="P53" i="5" l="1"/>
  <c r="P42" i="5" s="1"/>
  <c r="J90" i="4" s="1"/>
  <c r="P49" i="5"/>
  <c r="N49" i="5"/>
  <c r="N15" i="5" s="1"/>
  <c r="O52" i="5"/>
  <c r="O36" i="5" s="1"/>
  <c r="J68" i="4" s="1"/>
  <c r="J70" i="4" s="1"/>
  <c r="I70" i="4" s="1"/>
  <c r="P52" i="5"/>
  <c r="P36" i="5" s="1"/>
  <c r="J72" i="4" s="1"/>
  <c r="M51" i="5"/>
  <c r="M29" i="5" s="1"/>
  <c r="P51" i="5"/>
  <c r="P29" i="5" s="1"/>
  <c r="J54" i="4" s="1"/>
  <c r="J58" i="4" s="1"/>
  <c r="N50" i="5"/>
  <c r="N23" i="5" s="1"/>
  <c r="J28" i="4" s="1"/>
  <c r="I11" i="6" s="1"/>
  <c r="E23" i="9" s="1"/>
  <c r="M52" i="5"/>
  <c r="N52" i="5"/>
  <c r="N36" i="5" s="1"/>
  <c r="J64" i="4" s="1"/>
  <c r="J67" i="4" s="1"/>
  <c r="O49" i="5"/>
  <c r="O15" i="5" s="1"/>
  <c r="J50" i="4"/>
  <c r="I50" i="4" s="1"/>
  <c r="M53" i="5"/>
  <c r="O50" i="5"/>
  <c r="O23" i="5" s="1"/>
  <c r="J31" i="4" s="1"/>
  <c r="M11" i="6" s="1"/>
  <c r="E24" i="9" s="1"/>
  <c r="I53" i="4"/>
  <c r="J52" i="4"/>
  <c r="I52" i="4" s="1"/>
  <c r="J51" i="4"/>
  <c r="I51" i="4" s="1"/>
  <c r="J53" i="4"/>
  <c r="M50" i="5"/>
  <c r="M23" i="5" s="1"/>
  <c r="P50" i="5"/>
  <c r="P23" i="5" s="1"/>
  <c r="J35" i="4" s="1"/>
  <c r="J36" i="4" s="1"/>
  <c r="I36" i="4" s="1"/>
  <c r="O53" i="5"/>
  <c r="O42" i="5" s="1"/>
  <c r="J86" i="4" s="1"/>
  <c r="J87" i="4" s="1"/>
  <c r="I87" i="4" s="1"/>
  <c r="N53" i="5"/>
  <c r="N42" i="5" s="1"/>
  <c r="J81" i="4" s="1"/>
  <c r="J83" i="4" s="1"/>
  <c r="I83" i="4" s="1"/>
  <c r="N51" i="5"/>
  <c r="N29" i="5" s="1"/>
  <c r="J44" i="4" s="1"/>
  <c r="J45" i="4" s="1"/>
  <c r="I45" i="4" s="1"/>
  <c r="M49" i="5"/>
  <c r="M15" i="5" s="1"/>
  <c r="J93" i="4"/>
  <c r="J91" i="4"/>
  <c r="I91" i="4" s="1"/>
  <c r="Q17" i="6"/>
  <c r="E37" i="9" s="1"/>
  <c r="J92" i="4"/>
  <c r="I92" i="4" s="1"/>
  <c r="I93" i="4"/>
  <c r="M36" i="5"/>
  <c r="J66" i="4"/>
  <c r="I66" i="4" s="1"/>
  <c r="I15" i="6"/>
  <c r="E31" i="9" s="1"/>
  <c r="M42" i="5"/>
  <c r="J75" i="4"/>
  <c r="J74" i="4"/>
  <c r="I74" i="4" s="1"/>
  <c r="Q15" i="6"/>
  <c r="E33" i="9" s="1"/>
  <c r="I75" i="4"/>
  <c r="J73" i="4"/>
  <c r="I73" i="4" s="1"/>
  <c r="P15" i="5"/>
  <c r="J56" i="4" l="1"/>
  <c r="I56" i="4" s="1"/>
  <c r="I58" i="4"/>
  <c r="J57" i="4"/>
  <c r="I57" i="4" s="1"/>
  <c r="J55" i="4"/>
  <c r="I55" i="4" s="1"/>
  <c r="Q13" i="6"/>
  <c r="E29" i="9" s="1"/>
  <c r="I71" i="4"/>
  <c r="J69" i="4"/>
  <c r="I69" i="4" s="1"/>
  <c r="M15" i="6"/>
  <c r="E32" i="9" s="1"/>
  <c r="J71" i="4"/>
  <c r="J30" i="4"/>
  <c r="J65" i="4"/>
  <c r="I65" i="4" s="1"/>
  <c r="I67" i="4"/>
  <c r="Q52" i="5"/>
  <c r="I37" i="4"/>
  <c r="H35" i="4" s="1"/>
  <c r="I35" i="4" s="1"/>
  <c r="O11" i="6" s="1"/>
  <c r="C25" i="9" s="1"/>
  <c r="J29" i="4"/>
  <c r="I29" i="4" s="1"/>
  <c r="I30" i="4"/>
  <c r="J37" i="4"/>
  <c r="I85" i="4"/>
  <c r="I89" i="4"/>
  <c r="I84" i="4"/>
  <c r="J33" i="4"/>
  <c r="I33" i="4" s="1"/>
  <c r="I17" i="6"/>
  <c r="E35" i="9" s="1"/>
  <c r="J34" i="4"/>
  <c r="J85" i="4"/>
  <c r="I34" i="4"/>
  <c r="H49" i="4"/>
  <c r="N13" i="6" s="1"/>
  <c r="J84" i="4"/>
  <c r="J32" i="4"/>
  <c r="I32" i="4" s="1"/>
  <c r="J82" i="4"/>
  <c r="I82" i="4" s="1"/>
  <c r="J46" i="4"/>
  <c r="I46" i="4" s="1"/>
  <c r="I48" i="4"/>
  <c r="J47" i="4"/>
  <c r="I47" i="4" s="1"/>
  <c r="I13" i="6"/>
  <c r="E27" i="9" s="1"/>
  <c r="N54" i="5"/>
  <c r="Q51" i="5"/>
  <c r="J48" i="4"/>
  <c r="M54" i="5"/>
  <c r="Q49" i="5"/>
  <c r="J89" i="4"/>
  <c r="Q11" i="6"/>
  <c r="E25" i="9" s="1"/>
  <c r="Q50" i="5"/>
  <c r="P54" i="5"/>
  <c r="M17" i="6"/>
  <c r="E36" i="9" s="1"/>
  <c r="Q53" i="5"/>
  <c r="J88" i="4"/>
  <c r="I88" i="4" s="1"/>
  <c r="O54" i="5"/>
  <c r="H72" i="4"/>
  <c r="I72" i="4" s="1"/>
  <c r="O15" i="6" s="1"/>
  <c r="C33" i="9" s="1"/>
  <c r="F33" i="9" s="1"/>
  <c r="G33" i="9" s="1"/>
  <c r="H64" i="4"/>
  <c r="J15" i="6" s="1"/>
  <c r="H90" i="4"/>
  <c r="R17" i="6" s="1"/>
  <c r="L19" i="5"/>
  <c r="J24" i="4"/>
  <c r="P9" i="5"/>
  <c r="J20" i="4"/>
  <c r="J10" i="4"/>
  <c r="M9" i="5"/>
  <c r="L10" i="5"/>
  <c r="O9" i="5"/>
  <c r="J17" i="4"/>
  <c r="L25" i="5"/>
  <c r="J39" i="4"/>
  <c r="L32" i="5"/>
  <c r="J60" i="4"/>
  <c r="J13" i="4"/>
  <c r="N9" i="5"/>
  <c r="L38" i="5"/>
  <c r="J77" i="4"/>
  <c r="H28" i="4" l="1"/>
  <c r="J11" i="6" s="1"/>
  <c r="H54" i="4"/>
  <c r="I54" i="4" s="1"/>
  <c r="O13" i="6" s="1"/>
  <c r="C29" i="9" s="1"/>
  <c r="F29" i="9" s="1"/>
  <c r="G29" i="9" s="1"/>
  <c r="H68" i="4"/>
  <c r="N15" i="6" s="1"/>
  <c r="H86" i="4"/>
  <c r="I86" i="4" s="1"/>
  <c r="K17" i="6" s="1"/>
  <c r="C36" i="9" s="1"/>
  <c r="F36" i="9" s="1"/>
  <c r="G36" i="9" s="1"/>
  <c r="H81" i="4"/>
  <c r="J17" i="6" s="1"/>
  <c r="I90" i="4"/>
  <c r="O17" i="6" s="1"/>
  <c r="C37" i="9" s="1"/>
  <c r="F37" i="9" s="1"/>
  <c r="G37" i="9" s="1"/>
  <c r="I49" i="4"/>
  <c r="K13" i="6" s="1"/>
  <c r="C28" i="9" s="1"/>
  <c r="F28" i="9" s="1"/>
  <c r="G28" i="9" s="1"/>
  <c r="H31" i="4"/>
  <c r="N11" i="6" s="1"/>
  <c r="F25" i="9"/>
  <c r="G25" i="9" s="1"/>
  <c r="H44" i="4"/>
  <c r="J13" i="6" s="1"/>
  <c r="R11" i="6"/>
  <c r="Q54" i="5"/>
  <c r="R15" i="6"/>
  <c r="R13" i="6"/>
  <c r="I64" i="4"/>
  <c r="G15" i="6" s="1"/>
  <c r="C31" i="9" s="1"/>
  <c r="F31" i="9" s="1"/>
  <c r="G31" i="9" s="1"/>
  <c r="I68" i="4"/>
  <c r="K15" i="6" s="1"/>
  <c r="C32" i="9" s="1"/>
  <c r="F32" i="9" s="1"/>
  <c r="G32" i="9" s="1"/>
  <c r="J26" i="4"/>
  <c r="I26" i="4" s="1"/>
  <c r="J23" i="4"/>
  <c r="E19" i="8" s="1"/>
  <c r="J25" i="4"/>
  <c r="I25" i="4" s="1"/>
  <c r="E11" i="6"/>
  <c r="E22" i="9" s="1"/>
  <c r="J27" i="4"/>
  <c r="I27" i="4" s="1"/>
  <c r="E15" i="6"/>
  <c r="E30" i="9" s="1"/>
  <c r="J59" i="4"/>
  <c r="E21" i="8" s="1"/>
  <c r="J63" i="4"/>
  <c r="J62" i="4"/>
  <c r="I62" i="4" s="1"/>
  <c r="I63" i="4"/>
  <c r="J61" i="4"/>
  <c r="I61" i="4" s="1"/>
  <c r="M9" i="6"/>
  <c r="J19" i="4"/>
  <c r="J18" i="4"/>
  <c r="I18" i="4" s="1"/>
  <c r="I19" i="4"/>
  <c r="I12" i="4"/>
  <c r="J11" i="4"/>
  <c r="I11" i="4" s="1"/>
  <c r="J9" i="4"/>
  <c r="E9" i="6"/>
  <c r="J12" i="4"/>
  <c r="J80" i="4"/>
  <c r="J76" i="4"/>
  <c r="E22" i="8" s="1"/>
  <c r="J78" i="4"/>
  <c r="I78" i="4" s="1"/>
  <c r="J79" i="4"/>
  <c r="I79" i="4" s="1"/>
  <c r="I80" i="4"/>
  <c r="E17" i="6"/>
  <c r="E34" i="9" s="1"/>
  <c r="Q9" i="6"/>
  <c r="J21" i="4"/>
  <c r="I21" i="4" s="1"/>
  <c r="J22" i="4"/>
  <c r="I22" i="4" s="1"/>
  <c r="J16" i="4"/>
  <c r="J15" i="4"/>
  <c r="I15" i="4" s="1"/>
  <c r="I16" i="4"/>
  <c r="I9" i="6"/>
  <c r="J14" i="4"/>
  <c r="I14" i="4" s="1"/>
  <c r="I43" i="4"/>
  <c r="J40" i="4"/>
  <c r="I40" i="4" s="1"/>
  <c r="J41" i="4"/>
  <c r="I41" i="4" s="1"/>
  <c r="J42" i="4"/>
  <c r="I42" i="4" s="1"/>
  <c r="J38" i="4"/>
  <c r="E20" i="8" s="1"/>
  <c r="J43" i="4"/>
  <c r="E13" i="6"/>
  <c r="E26" i="9" s="1"/>
  <c r="I28" i="4" l="1"/>
  <c r="G11" i="6" s="1"/>
  <c r="C23" i="9" s="1"/>
  <c r="F23" i="9" s="1"/>
  <c r="G23" i="9" s="1"/>
  <c r="N17" i="6"/>
  <c r="I81" i="4"/>
  <c r="G17" i="6" s="1"/>
  <c r="C35" i="9" s="1"/>
  <c r="F35" i="9" s="1"/>
  <c r="G35" i="9" s="1"/>
  <c r="I44" i="4"/>
  <c r="G13" i="6" s="1"/>
  <c r="C27" i="9" s="1"/>
  <c r="F27" i="9" s="1"/>
  <c r="G27" i="9" s="1"/>
  <c r="H10" i="4"/>
  <c r="F9" i="6" s="1"/>
  <c r="I31" i="4"/>
  <c r="K11" i="6" s="1"/>
  <c r="C24" i="9" s="1"/>
  <c r="F24" i="9" s="1"/>
  <c r="G24" i="9" s="1"/>
  <c r="H20" i="4"/>
  <c r="R9" i="6" s="1"/>
  <c r="H17" i="4"/>
  <c r="N9" i="6" s="1"/>
  <c r="H60" i="4"/>
  <c r="F15" i="6" s="1"/>
  <c r="H24" i="4"/>
  <c r="F11" i="6" s="1"/>
  <c r="H39" i="4"/>
  <c r="F13" i="6" s="1"/>
  <c r="H13" i="4"/>
  <c r="J9" i="6" s="1"/>
  <c r="H77" i="4"/>
  <c r="I77" i="4" s="1"/>
  <c r="E20" i="7"/>
  <c r="E20" i="9"/>
  <c r="E18" i="9"/>
  <c r="E18" i="7"/>
  <c r="E19" i="9"/>
  <c r="E19" i="7"/>
  <c r="E21" i="7"/>
  <c r="E21" i="9"/>
  <c r="E18" i="8"/>
  <c r="J4" i="4"/>
  <c r="M4" i="6" s="1"/>
  <c r="I24" i="4" l="1"/>
  <c r="I20" i="4"/>
  <c r="O9" i="6" s="1"/>
  <c r="I10" i="4"/>
  <c r="I13" i="4"/>
  <c r="G9" i="6" s="1"/>
  <c r="C19" i="9" s="1"/>
  <c r="F19" i="9" s="1"/>
  <c r="G19" i="9" s="1"/>
  <c r="I60" i="4"/>
  <c r="C15" i="6" s="1"/>
  <c r="C30" i="9" s="1"/>
  <c r="F30" i="9" s="1"/>
  <c r="G30" i="9" s="1"/>
  <c r="I17" i="4"/>
  <c r="K9" i="6" s="1"/>
  <c r="C20" i="9" s="1"/>
  <c r="F20" i="9" s="1"/>
  <c r="G20" i="9" s="1"/>
  <c r="I39" i="4"/>
  <c r="C13" i="6" s="1"/>
  <c r="C26" i="9" s="1"/>
  <c r="F26" i="9" s="1"/>
  <c r="G26" i="9" s="1"/>
  <c r="F17" i="6"/>
  <c r="I23" i="4"/>
  <c r="C11" i="6"/>
  <c r="C22" i="9" s="1"/>
  <c r="F22" i="9" s="1"/>
  <c r="G22" i="9" s="1"/>
  <c r="J95" i="4"/>
  <c r="E38" i="9"/>
  <c r="E23" i="8"/>
  <c r="E22" i="7"/>
  <c r="C21" i="9"/>
  <c r="F21" i="9" s="1"/>
  <c r="G21" i="9" s="1"/>
  <c r="C21" i="7"/>
  <c r="F21" i="7" s="1"/>
  <c r="G21" i="7" s="1"/>
  <c r="C17" i="6"/>
  <c r="C34" i="9" s="1"/>
  <c r="F34" i="9" s="1"/>
  <c r="G34" i="9" s="1"/>
  <c r="I76" i="4"/>
  <c r="C9" i="6" l="1"/>
  <c r="I9" i="4"/>
  <c r="I59" i="4"/>
  <c r="H59" i="4" s="1"/>
  <c r="C19" i="7"/>
  <c r="F19" i="7" s="1"/>
  <c r="G19" i="7" s="1"/>
  <c r="C20" i="7"/>
  <c r="F20" i="7" s="1"/>
  <c r="G20" i="7" s="1"/>
  <c r="I38" i="4"/>
  <c r="C20" i="8" s="1"/>
  <c r="F20" i="8" s="1"/>
  <c r="G20" i="8" s="1"/>
  <c r="C18" i="9"/>
  <c r="F18" i="9" s="1"/>
  <c r="G18" i="9" s="1"/>
  <c r="C18" i="7"/>
  <c r="F18" i="7" s="1"/>
  <c r="G18" i="7" s="1"/>
  <c r="C22" i="8"/>
  <c r="F22" i="8" s="1"/>
  <c r="G22" i="8" s="1"/>
  <c r="H76" i="4"/>
  <c r="C19" i="8"/>
  <c r="F19" i="8" s="1"/>
  <c r="G19" i="8" s="1"/>
  <c r="H23" i="4"/>
  <c r="N9" i="4" l="1"/>
  <c r="H9" i="4" s="1"/>
  <c r="I4" i="4"/>
  <c r="H4" i="4" s="1"/>
  <c r="C18" i="8"/>
  <c r="F18" i="8" s="1"/>
  <c r="G18" i="8" s="1"/>
  <c r="C21" i="8"/>
  <c r="F21" i="8" s="1"/>
  <c r="G21" i="8" s="1"/>
  <c r="H38" i="4"/>
  <c r="K4" i="6" l="1"/>
  <c r="C22" i="7"/>
  <c r="F22" i="7" s="1"/>
  <c r="C23" i="8"/>
  <c r="F23" i="8" s="1"/>
  <c r="C38" i="9"/>
  <c r="F38" i="9" s="1"/>
  <c r="H95" i="4"/>
  <c r="I9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F10" authorId="0" shapeId="0" xr:uid="{00000000-0006-0000-0400-000001000000}">
      <text>
        <r>
          <rPr>
            <sz val="8"/>
            <color indexed="8"/>
            <rFont val="Segoe UI"/>
            <family val="2"/>
          </rPr>
          <t xml:space="preserve">please insert the total expenditures on the supply chain. This does not include taxes, royalties and finance costs. </t>
        </r>
      </text>
    </comment>
    <comment ref="M10" authorId="0" shapeId="0" xr:uid="{00000000-0006-0000-0400-000002000000}">
      <text>
        <r>
          <rPr>
            <sz val="8"/>
            <color indexed="8"/>
            <rFont val="Arial"/>
            <family val="2"/>
          </rPr>
          <t>the weighting of topics is dependent on the social risk of the industry of the supplier (see country rating). The social risk is currently deduced from societal controversies in the respective industry. In future a more elaborate approach is aimed</t>
        </r>
      </text>
    </comment>
    <comment ref="N10" authorId="0" shapeId="0" xr:uid="{00000000-0006-0000-0400-000003000000}">
      <text>
        <r>
          <rPr>
            <sz val="8"/>
            <color indexed="8"/>
            <rFont val="Segoe UI"/>
            <family val="2"/>
          </rPr>
          <t xml:space="preserve">currently no weighting, one idea: regional minimum wages / gini-coefficient?
</t>
        </r>
      </text>
    </comment>
    <comment ref="O10" authorId="0" shapeId="0" xr:uid="{00000000-0006-0000-0400-000004000000}">
      <text>
        <r>
          <rPr>
            <sz val="8"/>
            <color indexed="8"/>
            <rFont val="Segoe UI"/>
            <family val="2"/>
          </rPr>
          <t>the weighting of topics is dependent on the environmental risk of the industry of the supplier (see country rating). The risk is currently deduced from ecological impact of the industry. Based on environmental input-output data more precise data should be available soon</t>
        </r>
      </text>
    </comment>
    <comment ref="P10" authorId="0" shapeId="0" xr:uid="{00000000-0006-0000-0400-000005000000}">
      <text>
        <r>
          <rPr>
            <sz val="8"/>
            <color indexed="8"/>
            <rFont val="Segoe UI"/>
            <family val="2"/>
          </rPr>
          <t>The weighting of topics is dependent on the labour participation rights in the countries of origin of the most important purchased goods and services and is based on the ILUC-Index of the International Labour Union (ILO)</t>
        </r>
      </text>
    </comment>
    <comment ref="F12" authorId="0" shapeId="0" xr:uid="{00000000-0006-0000-0400-000006000000}">
      <text>
        <r>
          <rPr>
            <sz val="8"/>
            <color indexed="8"/>
            <rFont val="Segoe UI"/>
            <family val="2"/>
          </rPr>
          <t xml:space="preserve">Please in the five most important industries your companies purchased goods or services from. </t>
        </r>
      </text>
    </comment>
    <comment ref="G12" authorId="0" shapeId="0" xr:uid="{00000000-0006-0000-0400-000007000000}">
      <text>
        <r>
          <rPr>
            <sz val="8"/>
            <color indexed="8"/>
            <rFont val="Cambria"/>
            <family val="1"/>
          </rPr>
          <t xml:space="preserve">Please describe in the five most importantgoods or services your company purchased 
</t>
        </r>
      </text>
    </comment>
    <comment ref="H12" authorId="0" shapeId="0" xr:uid="{00000000-0006-0000-0400-000008000000}">
      <text>
        <r>
          <rPr>
            <sz val="8"/>
            <color indexed="8"/>
            <rFont val="Segoe UI"/>
            <family val="2"/>
          </rPr>
          <t>Please select the region where the five most important  purchased goods or services are produced. Select, as far as possible, the region where the most important step happens (e.g. extraction, production )</t>
        </r>
      </text>
    </comment>
    <comment ref="I12" authorId="0" shapeId="0" xr:uid="{00000000-0006-0000-0400-000009000000}">
      <text>
        <r>
          <rPr>
            <sz val="8"/>
            <color indexed="8"/>
            <rFont val="Segoe UI"/>
            <family val="2"/>
          </rPr>
          <t xml:space="preserve">Please insert the amounts spent for the five most important industries your companies purchased goods or services from. </t>
        </r>
      </text>
    </comment>
    <comment ref="F19" authorId="0" shapeId="0" xr:uid="{00000000-0006-0000-0400-00000A000000}">
      <text>
        <r>
          <rPr>
            <sz val="8"/>
            <color indexed="8"/>
            <rFont val="Segoe UI"/>
            <family val="2"/>
          </rPr>
          <t>please insert the profit after tax of the company</t>
        </r>
      </text>
    </comment>
    <comment ref="M19" authorId="0" shapeId="0" xr:uid="{00000000-0006-0000-0400-00000B000000}">
      <text>
        <r>
          <rPr>
            <sz val="8"/>
            <color indexed="8"/>
            <rFont val="Segoe UI"/>
            <family val="2"/>
          </rPr>
          <t>the weighting of this topics is dependent on the ratio of sales / total assets. The lower the ratio, the higher is the rating</t>
        </r>
      </text>
    </comment>
    <comment ref="N19" authorId="0" shapeId="0" xr:uid="{00000000-0006-0000-0400-00000C000000}">
      <text>
        <r>
          <rPr>
            <sz val="8"/>
            <color indexed="8"/>
            <rFont val="Segoe UI"/>
            <family val="2"/>
          </rPr>
          <t>the weighting of this topics is dependent on the amount of the ratio  (profit / turnover)</t>
        </r>
      </text>
    </comment>
    <comment ref="O19" authorId="0" shapeId="0" xr:uid="{00000000-0006-0000-0400-00000D000000}">
      <text>
        <r>
          <rPr>
            <sz val="8"/>
            <color indexed="8"/>
            <rFont val="Segoe UI"/>
            <family val="2"/>
          </rPr>
          <t>the weighting of this topics is dependent on the interest received for invested capital in relation to the turnover</t>
        </r>
      </text>
    </comment>
    <comment ref="P19" authorId="0" shapeId="0" xr:uid="{00000000-0006-0000-0400-00000E000000}">
      <text>
        <r>
          <rPr>
            <sz val="8"/>
            <color indexed="8"/>
            <rFont val="Segoe UI"/>
            <family val="2"/>
          </rPr>
          <t xml:space="preserve">the weighting of this topics is dependent on the size of the company </t>
        </r>
      </text>
    </comment>
    <comment ref="F21" authorId="0" shapeId="0" xr:uid="{00000000-0006-0000-0400-00000F000000}">
      <text>
        <r>
          <rPr>
            <sz val="8"/>
            <color indexed="8"/>
            <rFont val="Segoe UI"/>
            <family val="2"/>
          </rPr>
          <t>please insert the total amount of finance costs (expenses for interest, distributed profits to external persons, etc.).</t>
        </r>
      </text>
    </comment>
    <comment ref="G22" authorId="0" shapeId="0" xr:uid="{00000000-0006-0000-0400-000010000000}">
      <text>
        <r>
          <rPr>
            <b/>
            <sz val="8"/>
            <color indexed="8"/>
            <rFont val="Segoe UI"/>
            <family val="2"/>
          </rPr>
          <t xml:space="preserve">T410:
</t>
        </r>
        <r>
          <rPr>
            <sz val="8"/>
            <color indexed="8"/>
            <rFont val="Segoe UI"/>
            <family val="2"/>
          </rPr>
          <t>please insert the total finance income (e.g. interests received)</t>
        </r>
      </text>
    </comment>
    <comment ref="G23" authorId="0" shapeId="0" xr:uid="{00000000-0006-0000-0400-000011000000}">
      <text>
        <r>
          <rPr>
            <sz val="8"/>
            <color indexed="8"/>
            <rFont val="Segoe UI"/>
            <family val="2"/>
          </rPr>
          <t>please insert the total assets of the balance sheet</t>
        </r>
      </text>
    </comment>
    <comment ref="F24" authorId="0" shapeId="0" xr:uid="{00000000-0006-0000-0400-000012000000}">
      <text>
        <r>
          <rPr>
            <sz val="8"/>
            <color indexed="8"/>
            <rFont val="Segoe UI"/>
            <family val="2"/>
          </rPr>
          <t xml:space="preserve">
please insert the sum of financial instrument, (e.g. bonds, pensions funds) and deposit at banks or a rough estimate</t>
        </r>
      </text>
    </comment>
    <comment ref="H24" authorId="0" shapeId="0" xr:uid="{00000000-0006-0000-0400-000013000000}">
      <text>
        <r>
          <rPr>
            <sz val="8"/>
            <color indexed="8"/>
            <rFont val="Segoe UI"/>
            <family val="2"/>
          </rPr>
          <t xml:space="preserve">
please insert the sum of financial instrument, (e.g. bonds, pensions funds) and deposit at banks or a rough estimate</t>
        </r>
      </text>
    </comment>
    <comment ref="F25" authorId="0" shapeId="0" xr:uid="{00000000-0006-0000-0400-000014000000}">
      <text>
        <r>
          <rPr>
            <sz val="8"/>
            <color indexed="8"/>
            <rFont val="Segoe UI"/>
            <family val="2"/>
          </rPr>
          <t>please insert the total expenditures on employees (wages and salaries without social expenditures)</t>
        </r>
      </text>
    </comment>
    <comment ref="O25" authorId="0" shapeId="0" xr:uid="{00000000-0006-0000-0400-000015000000}">
      <text>
        <r>
          <rPr>
            <sz val="8"/>
            <color indexed="8"/>
            <rFont val="Segoe UI"/>
            <family val="2"/>
          </rPr>
          <t>the weighting of topic is dependent on the existence of a cantine for the majority of the employees and employee commuting (distance from the work place).  Studies of certain comanies have indicated, that can have rather high impacts in case of a company cantine and  when employees need to travel far everyday.</t>
        </r>
      </text>
    </comment>
    <comment ref="P25" authorId="0" shapeId="0" xr:uid="{00000000-0006-0000-0400-000016000000}">
      <text>
        <r>
          <rPr>
            <sz val="8"/>
            <color indexed="8"/>
            <rFont val="Segoe UI"/>
            <family val="2"/>
          </rPr>
          <t xml:space="preserve">the weighting of this topics is dependent on the size of the company </t>
        </r>
      </text>
    </comment>
    <comment ref="F26" authorId="0" shapeId="0" xr:uid="{00000000-0006-0000-0400-000017000000}">
      <text>
        <r>
          <rPr>
            <sz val="8"/>
            <color indexed="8"/>
            <rFont val="Segoe UI"/>
            <family val="2"/>
          </rPr>
          <t>please insert the total number of employees by full-time-equivalents</t>
        </r>
      </text>
    </comment>
    <comment ref="G27" authorId="0" shapeId="0" xr:uid="{00000000-0006-0000-0400-000018000000}">
      <text>
        <r>
          <rPr>
            <sz val="8"/>
            <color indexed="8"/>
            <rFont val="Segoe UI"/>
            <family val="2"/>
          </rPr>
          <t>please name the country with the most employees and their precentage of all employees</t>
        </r>
      </text>
    </comment>
    <comment ref="G28" authorId="0" shapeId="0" xr:uid="{00000000-0006-0000-0400-000019000000}">
      <text>
        <r>
          <rPr>
            <sz val="8"/>
            <color indexed="8"/>
            <rFont val="Segoe UI"/>
            <family val="2"/>
          </rPr>
          <t>please name the country with the 2nd most employees and their precentage of all employees</t>
        </r>
      </text>
    </comment>
    <comment ref="G29" authorId="0" shapeId="0" xr:uid="{00000000-0006-0000-0400-00001A000000}">
      <text>
        <r>
          <rPr>
            <sz val="8"/>
            <color indexed="8"/>
            <rFont val="Segoe UI"/>
            <family val="2"/>
          </rPr>
          <t>please name the country with the 3rd most employees and their precentage of all employees</t>
        </r>
      </text>
    </comment>
    <comment ref="F30" authorId="0" shapeId="0" xr:uid="{00000000-0006-0000-0400-00001B000000}">
      <text>
        <r>
          <rPr>
            <sz val="8"/>
            <color indexed="8"/>
            <rFont val="Segoe UI"/>
            <family val="2"/>
          </rPr>
          <t>please insert the (estimated) average distance of the employees from the company in km</t>
        </r>
      </text>
    </comment>
    <comment ref="F31" authorId="0" shapeId="0" xr:uid="{00000000-0006-0000-0400-00001C000000}">
      <text>
        <r>
          <rPr>
            <sz val="8"/>
            <color indexed="8"/>
            <rFont val="Segoe UI"/>
            <family val="2"/>
          </rPr>
          <t>Does a company cantine exist, which more than 50% of the employee use?</t>
        </r>
      </text>
    </comment>
    <comment ref="F32" authorId="0" shapeId="0" xr:uid="{00000000-0006-0000-0400-00001D000000}">
      <text>
        <r>
          <rPr>
            <sz val="8"/>
            <color indexed="8"/>
            <rFont val="Segoe UI"/>
            <family val="2"/>
          </rPr>
          <t>please insert the total sales (source:  income statement)</t>
        </r>
      </text>
    </comment>
    <comment ref="O32" authorId="0" shapeId="0" xr:uid="{00000000-0006-0000-0400-00001E000000}">
      <text>
        <r>
          <rPr>
            <sz val="8"/>
            <color indexed="8"/>
            <rFont val="Segoe UI"/>
            <family val="2"/>
          </rPr>
          <t>the weighting of topic is dependent on the envrionmental risk of the industry. The risk is currently deduced from interviews with experts and media research. Based on environmental input-output data more precise data should be available soon</t>
        </r>
      </text>
    </comment>
    <comment ref="P32" authorId="0" shapeId="0" xr:uid="{00000000-0006-0000-0400-00001F000000}">
      <text>
        <r>
          <rPr>
            <b/>
            <sz val="8"/>
            <color indexed="8"/>
            <rFont val="Segoe UI"/>
            <family val="2"/>
          </rPr>
          <t>The Weighting is low if the company has almost entirely B2B-business</t>
        </r>
      </text>
    </comment>
    <comment ref="F34" authorId="0" shapeId="0" xr:uid="{00000000-0006-0000-0400-000020000000}">
      <text>
        <r>
          <rPr>
            <sz val="8"/>
            <color indexed="8"/>
            <rFont val="Segoe UI"/>
            <family val="2"/>
          </rPr>
          <t>Please in the three most important industries your companies purchased goods or services from.  If you provide only one product, you can distinguish into customers segments, in case you provide many different products and services try to group them as far as possible</t>
        </r>
      </text>
    </comment>
    <comment ref="G34" authorId="0" shapeId="0" xr:uid="{00000000-0006-0000-0400-000021000000}">
      <text>
        <r>
          <rPr>
            <sz val="8"/>
            <color indexed="8"/>
            <rFont val="Segoe UI"/>
            <family val="2"/>
          </rPr>
          <t>please insert a short description of the service and product</t>
        </r>
      </text>
    </comment>
    <comment ref="N38" authorId="0" shapeId="0" xr:uid="{00000000-0006-0000-0400-000022000000}">
      <text>
        <r>
          <rPr>
            <sz val="8"/>
            <color indexed="8"/>
            <rFont val="Segoe UI"/>
            <family val="2"/>
          </rPr>
          <t>the weighting of this topics is dependent on the amount of the ratio  (profit / turnover)</t>
        </r>
      </text>
    </comment>
    <comment ref="O38" authorId="0" shapeId="0" xr:uid="{00000000-0006-0000-0400-000023000000}">
      <text>
        <r>
          <rPr>
            <sz val="8"/>
            <color indexed="8"/>
            <rFont val="Segoe UI"/>
            <family val="2"/>
          </rPr>
          <t>the weighting of topic is dependent on the envrionmental risk of the industry. The risk is currently deduced from expert interview and media research. Based on environmental input-output data more precise data should be available soon</t>
        </r>
      </text>
    </comment>
    <comment ref="P38" authorId="0" shapeId="0" xr:uid="{00000000-0006-0000-0400-000024000000}">
      <text>
        <r>
          <rPr>
            <sz val="8"/>
            <color indexed="8"/>
            <rFont val="Segoe UI"/>
            <family val="2"/>
          </rPr>
          <t xml:space="preserve"> the weighting of this topics is dependent on the size of the company and for some industries with high impact an adjacent communities the weighting is high</t>
        </r>
      </text>
    </comment>
  </commentList>
</comments>
</file>

<file path=xl/sharedStrings.xml><?xml version="1.0" encoding="utf-8"?>
<sst xmlns="http://schemas.openxmlformats.org/spreadsheetml/2006/main" count="4981" uniqueCount="3201">
  <si>
    <t>5.02</t>
  </si>
  <si>
    <t>a)</t>
  </si>
  <si>
    <t>b)</t>
  </si>
  <si>
    <t>c)</t>
  </si>
  <si>
    <t>d)</t>
  </si>
  <si>
    <t>e)</t>
  </si>
  <si>
    <t>Ja</t>
  </si>
  <si>
    <t>Nein</t>
  </si>
  <si>
    <t>P - Bildung</t>
  </si>
  <si>
    <t>ausblenden</t>
  </si>
  <si>
    <t>ausblenben</t>
  </si>
  <si>
    <t>Gewichtung Standard</t>
  </si>
  <si>
    <t>Reset</t>
  </si>
  <si>
    <t>A</t>
  </si>
  <si>
    <t>A1</t>
  </si>
  <si>
    <t>A1.1</t>
  </si>
  <si>
    <t>A1.2</t>
  </si>
  <si>
    <t>A2</t>
  </si>
  <si>
    <t>A2.1</t>
  </si>
  <si>
    <t>A2.2</t>
  </si>
  <si>
    <t>A2.3</t>
  </si>
  <si>
    <t>A3</t>
  </si>
  <si>
    <t>A3.1</t>
  </si>
  <si>
    <t>A3.2</t>
  </si>
  <si>
    <t>A4</t>
  </si>
  <si>
    <t>A4.1</t>
  </si>
  <si>
    <t>A4.2</t>
  </si>
  <si>
    <t>B</t>
  </si>
  <si>
    <t>B1</t>
  </si>
  <si>
    <t>B1.1</t>
  </si>
  <si>
    <t>B1.2</t>
  </si>
  <si>
    <t>B1.3</t>
  </si>
  <si>
    <t>B2</t>
  </si>
  <si>
    <t>B2.1</t>
  </si>
  <si>
    <t>B2.2</t>
  </si>
  <si>
    <t>B3</t>
  </si>
  <si>
    <t>B3.1</t>
  </si>
  <si>
    <t>B3.2</t>
  </si>
  <si>
    <t>B3.3</t>
  </si>
  <si>
    <t>B4</t>
  </si>
  <si>
    <t>B4.1</t>
  </si>
  <si>
    <t>B4.2</t>
  </si>
  <si>
    <t>C</t>
  </si>
  <si>
    <t>C1</t>
  </si>
  <si>
    <t>C1.1</t>
  </si>
  <si>
    <t>C1.2</t>
  </si>
  <si>
    <t>C1.3</t>
  </si>
  <si>
    <t>C1.4</t>
  </si>
  <si>
    <t>C2</t>
  </si>
  <si>
    <t>C2.1</t>
  </si>
  <si>
    <t>C2.2</t>
  </si>
  <si>
    <t>C2.3</t>
  </si>
  <si>
    <t>C2.4</t>
  </si>
  <si>
    <t>C3</t>
  </si>
  <si>
    <t>C3.1</t>
  </si>
  <si>
    <t>C3.2</t>
  </si>
  <si>
    <t>C3.3</t>
  </si>
  <si>
    <t>C3.4</t>
  </si>
  <si>
    <t>C4</t>
  </si>
  <si>
    <t>C4.1</t>
  </si>
  <si>
    <t>C4.2</t>
  </si>
  <si>
    <t>C4.3</t>
  </si>
  <si>
    <t>C4.4</t>
  </si>
  <si>
    <t>D</t>
  </si>
  <si>
    <t>D1</t>
  </si>
  <si>
    <t>D1.1</t>
  </si>
  <si>
    <t>D1.2</t>
  </si>
  <si>
    <t>D1.3</t>
  </si>
  <si>
    <t>D2</t>
  </si>
  <si>
    <t>D2.1</t>
  </si>
  <si>
    <t>D2.2</t>
  </si>
  <si>
    <t>D2.3</t>
  </si>
  <si>
    <t>D3</t>
  </si>
  <si>
    <t>D3.1</t>
  </si>
  <si>
    <t>D3.2</t>
  </si>
  <si>
    <t>D3.3</t>
  </si>
  <si>
    <t>D4</t>
  </si>
  <si>
    <t>D4.1</t>
  </si>
  <si>
    <t>D4.2</t>
  </si>
  <si>
    <t>E</t>
  </si>
  <si>
    <t>E1</t>
  </si>
  <si>
    <t>E1.1</t>
  </si>
  <si>
    <t>E1.2</t>
  </si>
  <si>
    <t>E1.3</t>
  </si>
  <si>
    <t>E2</t>
  </si>
  <si>
    <t>E2.1</t>
  </si>
  <si>
    <t>E2.2</t>
  </si>
  <si>
    <t>E2.3</t>
  </si>
  <si>
    <t>E2.4</t>
  </si>
  <si>
    <t>E3</t>
  </si>
  <si>
    <t>E3.1</t>
  </si>
  <si>
    <t>E3.2</t>
  </si>
  <si>
    <t>E3.3</t>
  </si>
  <si>
    <t>E4</t>
  </si>
  <si>
    <t>E4.1</t>
  </si>
  <si>
    <t>E4.2</t>
  </si>
  <si>
    <t>E4.3</t>
  </si>
  <si>
    <t>MATRIX 5.0</t>
  </si>
  <si>
    <t>VALUES WERTE</t>
  </si>
  <si>
    <t xml:space="preserve">1) HUMAN DIGNITY </t>
  </si>
  <si>
    <t>2) SOLIDARITY &amp;  JUSTICE</t>
  </si>
  <si>
    <t>3) ECOLOGICAL SUSTAINABILITY</t>
  </si>
  <si>
    <t>4) DEMOCRATIC CO-DETERMINATION AND TRANSPARENCY</t>
  </si>
  <si>
    <t>Total Sales (in Mio Euro)</t>
  </si>
  <si>
    <t>Total Assets (in Mio Euro)</t>
  </si>
  <si>
    <t>fields necessary to fill out</t>
  </si>
  <si>
    <t>these field contains a comment on the necesarry information for cells to be filled out or on the weighting in general</t>
  </si>
  <si>
    <t>STAKEHOLDER                                                    BERÜHRUNGSGGRUPPE</t>
  </si>
  <si>
    <t>Gesamt-Ausgaben an Lieferanten / total expenditures on the supply chain</t>
  </si>
  <si>
    <t>A: SUPPLIERS</t>
  </si>
  <si>
    <t>NACE</t>
  </si>
  <si>
    <t>Industry</t>
  </si>
  <si>
    <t>Product / Services Description</t>
  </si>
  <si>
    <t>Region</t>
  </si>
  <si>
    <t>Expenditures</t>
  </si>
  <si>
    <t>Rest</t>
  </si>
  <si>
    <t xml:space="preserve">profit </t>
  </si>
  <si>
    <t>B: INVESTORS</t>
  </si>
  <si>
    <t xml:space="preserve">profit in % of total Sales </t>
  </si>
  <si>
    <t>profit</t>
  </si>
  <si>
    <t>EQ-Quote</t>
  </si>
  <si>
    <t>costs of finance</t>
  </si>
  <si>
    <t>&lt;-- (zugänge anlageverm.+financial assets)/total assets</t>
  </si>
  <si>
    <t>finance income</t>
  </si>
  <si>
    <t>&lt;-- ratio: sales/assets</t>
  </si>
  <si>
    <t>total assets</t>
  </si>
  <si>
    <t>"zugänge zum anlagevermögen"</t>
  </si>
  <si>
    <t>"invested money"</t>
  </si>
  <si>
    <t>employee expenditures</t>
  </si>
  <si>
    <t>C: EMPLOYEES</t>
  </si>
  <si>
    <t xml:space="preserve">number of FTE </t>
  </si>
  <si>
    <t>Does an Cantine for the majority of employees exist?</t>
  </si>
  <si>
    <t>companay szie</t>
  </si>
  <si>
    <t xml:space="preserve">% employees  in </t>
  </si>
  <si>
    <t xml:space="preserve">% employees in </t>
  </si>
  <si>
    <t>potential commuting impact</t>
  </si>
  <si>
    <t>existence of a company canteen</t>
  </si>
  <si>
    <t>total sales</t>
  </si>
  <si>
    <t>D: CUSTOMERS</t>
  </si>
  <si>
    <t>B2B / B2C</t>
  </si>
  <si>
    <t>industry</t>
  </si>
  <si>
    <t>% of total sales</t>
  </si>
  <si>
    <t>E: SOCIETY</t>
  </si>
  <si>
    <t>Company Size (EU definition)</t>
  </si>
  <si>
    <t>1) HUMAN DIGNITY</t>
  </si>
  <si>
    <t>2) COOPERATION AND SOLIDARITY</t>
  </si>
  <si>
    <t>5) DEMOCRATIC CO-DETERMINATION AND TRANSPARENCY</t>
  </si>
  <si>
    <t>Weighting Points</t>
  </si>
  <si>
    <t>trifft nicht zu</t>
  </si>
  <si>
    <t>niedrig</t>
  </si>
  <si>
    <t>mittel</t>
  </si>
  <si>
    <t>hoch</t>
  </si>
  <si>
    <t>sehr hoch</t>
  </si>
  <si>
    <t>DIFFERENCE TO MATRIX 4.0 WEIGHTING</t>
  </si>
  <si>
    <t>-</t>
  </si>
  <si>
    <t>INDUSTRY WEIGHTING - COMMON GOOD MATRIX</t>
  </si>
  <si>
    <r>
      <rPr>
        <b/>
        <sz val="8"/>
        <color indexed="9"/>
        <rFont val="Arial"/>
        <family val="2"/>
      </rPr>
      <t>INDUSTRY</t>
    </r>
    <r>
      <rPr>
        <sz val="8"/>
        <color indexed="9"/>
        <rFont val="Arial"/>
        <family val="2"/>
      </rPr>
      <t xml:space="preserve"> </t>
    </r>
  </si>
  <si>
    <t>A1 -social risks in the Supply Chain</t>
  </si>
  <si>
    <t>A3 -ecological sustainability in the Supply Chain</t>
  </si>
  <si>
    <t>D3 - Ecological Design of products and services</t>
  </si>
  <si>
    <t>E3 -  Reduction of Environmental Impact</t>
  </si>
  <si>
    <t>E4 - Social transparency and co-
determination</t>
  </si>
  <si>
    <t>A3 - Ecologicla Supply Chain Risk</t>
  </si>
  <si>
    <t>(based UN International Standard Industrial Classification of All Economic Activities, Rev.4 -http://unstats.un.org/unsd/cr/registry/regcst.asp?Cl=27)</t>
  </si>
  <si>
    <t>weighting</t>
  </si>
  <si>
    <t>argumentation: based on the social risks in the industry</t>
  </si>
  <si>
    <r>
      <rPr>
        <b/>
        <sz val="7"/>
        <color indexed="8"/>
        <rFont val="Arial"/>
        <family val="2"/>
      </rPr>
      <t xml:space="preserve">argumentation: </t>
    </r>
    <r>
      <rPr>
        <sz val="7"/>
        <color indexed="8"/>
        <rFont val="Arial"/>
        <family val="2"/>
      </rPr>
      <t>based on ecological impact on the planterary boundaries in the supply cahin (studies and the use of quantitative models - e.g. ecological footprint - will be applied herefor)</t>
    </r>
  </si>
  <si>
    <r>
      <rPr>
        <b/>
        <sz val="7"/>
        <color indexed="8"/>
        <rFont val="Arial"/>
        <family val="2"/>
      </rPr>
      <t xml:space="preserve">argumentation: </t>
    </r>
    <r>
      <rPr>
        <sz val="7"/>
        <color indexed="8"/>
        <rFont val="Arial"/>
        <family val="2"/>
      </rPr>
      <t>based on the products / service impact on the planterary boundaries in the use phase (studies and the use of quantitative models - e.g. ecological footprint - will be applied herefor)</t>
    </r>
  </si>
  <si>
    <t>argumentation: based on the sectors direct impact in the production phase on the planterary boundaries (studies and the use of quantitative models will be applied herefor); e.g. sehr hoch: The sector has a major impact of various planetary boundaries</t>
  </si>
  <si>
    <r>
      <rPr>
        <b/>
        <sz val="7"/>
        <color indexed="8"/>
        <rFont val="Arial"/>
        <family val="2"/>
      </rPr>
      <t xml:space="preserve">argumentation: </t>
    </r>
    <r>
      <rPr>
        <sz val="7"/>
        <color indexed="8"/>
        <rFont val="Arial"/>
        <family val="2"/>
      </rPr>
      <t xml:space="preserve">the weighting is depending on the impact the industry has particularly on the adjacent environment
</t>
    </r>
  </si>
  <si>
    <t>argumentation: based on the sectors direct impact in the production phase on the planterary boundaries (studies and the use of quantitative models will be applied herefor)
sehr hoch: The sector has a major impact of various planetary boundaries</t>
  </si>
  <si>
    <t xml:space="preserve">A </t>
  </si>
  <si>
    <t>ist E3?</t>
  </si>
  <si>
    <t>the main impacts are in the production phase</t>
  </si>
  <si>
    <t xml:space="preserve">major direct impact on various planetary boundaries in the production (climate change, N/P-cycle, biodiversity, land-use-change) </t>
  </si>
  <si>
    <t xml:space="preserve">B </t>
  </si>
  <si>
    <t>major impact on eco-systems</t>
  </si>
  <si>
    <t xml:space="preserve">C </t>
  </si>
  <si>
    <t xml:space="preserve">Please note: This industry is very heterogen. </t>
  </si>
  <si>
    <t>Ca</t>
  </si>
  <si>
    <t>Cb</t>
  </si>
  <si>
    <t>Cc</t>
  </si>
  <si>
    <t>Cd</t>
  </si>
  <si>
    <t>Ce</t>
  </si>
  <si>
    <t>residues for some pharmaproducts critical</t>
  </si>
  <si>
    <t>Cf</t>
  </si>
  <si>
    <t>Cg</t>
  </si>
  <si>
    <t>Ch</t>
  </si>
  <si>
    <t xml:space="preserve">D </t>
  </si>
  <si>
    <t>major impact on climate change</t>
  </si>
  <si>
    <t xml:space="preserve">E </t>
  </si>
  <si>
    <t xml:space="preserve">F </t>
  </si>
  <si>
    <t>major impact on climate change (see d3) and impacting land-use-change</t>
  </si>
  <si>
    <t xml:space="preserve">G </t>
  </si>
  <si>
    <t xml:space="preserve">H </t>
  </si>
  <si>
    <t xml:space="preserve">I </t>
  </si>
  <si>
    <t xml:space="preserve">J </t>
  </si>
  <si>
    <t xml:space="preserve">K </t>
  </si>
  <si>
    <t xml:space="preserve">L </t>
  </si>
  <si>
    <t xml:space="preserve">M </t>
  </si>
  <si>
    <t xml:space="preserve">N </t>
  </si>
  <si>
    <t xml:space="preserve">O </t>
  </si>
  <si>
    <t xml:space="preserve">P </t>
  </si>
  <si>
    <t xml:space="preserve">Q </t>
  </si>
  <si>
    <t xml:space="preserve">R </t>
  </si>
  <si>
    <t xml:space="preserve">S </t>
  </si>
  <si>
    <t>T</t>
  </si>
  <si>
    <t xml:space="preserve">U </t>
  </si>
  <si>
    <t>Branche 1</t>
  </si>
  <si>
    <t>Branche 2</t>
  </si>
  <si>
    <t>Branche 3</t>
  </si>
  <si>
    <t>ÖKOLOGISCHE BRANCHENGEWICHTUNGEN</t>
  </si>
  <si>
    <t>SUPPLIERS AND EMPLOYEE WEIGHTING RATIO</t>
  </si>
  <si>
    <t>added value of suppliers (source: income statement)</t>
  </si>
  <si>
    <r>
      <rPr>
        <sz val="8"/>
        <color indexed="9"/>
        <rFont val="Arial"/>
        <family val="2"/>
      </rPr>
      <t xml:space="preserve">Splitted added value </t>
    </r>
    <r>
      <rPr>
        <sz val="8"/>
        <color indexed="60"/>
        <rFont val="Arial"/>
        <family val="2"/>
      </rPr>
      <t>(source¿?)</t>
    </r>
  </si>
  <si>
    <t>Country</t>
  </si>
  <si>
    <r>
      <rPr>
        <sz val="8"/>
        <color indexed="9"/>
        <rFont val="Arial"/>
        <family val="2"/>
      </rPr>
      <t xml:space="preserve">PPP index </t>
    </r>
    <r>
      <rPr>
        <sz val="8"/>
        <color indexed="60"/>
        <rFont val="Arial"/>
        <family val="2"/>
      </rPr>
      <t>(source¿?)</t>
    </r>
  </si>
  <si>
    <t>Added value adjusted</t>
  </si>
  <si>
    <t>Total</t>
  </si>
  <si>
    <t>%</t>
  </si>
  <si>
    <t>ITUC (average)</t>
  </si>
  <si>
    <t>nace</t>
  </si>
  <si>
    <t>ecol. Impact (A3)</t>
  </si>
  <si>
    <t>social impact (A1)</t>
  </si>
  <si>
    <t>Supplier 1</t>
  </si>
  <si>
    <t>Supplier 2</t>
  </si>
  <si>
    <t>Supplier 3</t>
  </si>
  <si>
    <t>Supplier 4</t>
  </si>
  <si>
    <t>Supplier 5</t>
  </si>
  <si>
    <t>Rest of suppliers</t>
  </si>
  <si>
    <t>Supply Chain Gewichtung</t>
  </si>
  <si>
    <t>Workers</t>
  </si>
  <si>
    <t xml:space="preserve">Please note that the boxes with a red frame have to be filled out. </t>
  </si>
  <si>
    <t>Purchasing Power Parity Tables</t>
  </si>
  <si>
    <t>Data Source</t>
  </si>
  <si>
    <t>Worldbank Data</t>
  </si>
  <si>
    <t>Last Updated Date</t>
  </si>
  <si>
    <t>2_2018</t>
  </si>
  <si>
    <t>http://data.worldbank.org/indicator/NY.GDP.MKTP.PP.CD</t>
  </si>
  <si>
    <t xml:space="preserve"> </t>
  </si>
  <si>
    <t>Country Code</t>
  </si>
  <si>
    <t>Country Name</t>
  </si>
  <si>
    <t>code</t>
  </si>
  <si>
    <t>Aruba</t>
  </si>
  <si>
    <t>est</t>
  </si>
  <si>
    <t>Americas</t>
  </si>
  <si>
    <t>ABW</t>
  </si>
  <si>
    <t>Afghanistan</t>
  </si>
  <si>
    <t>Asia</t>
  </si>
  <si>
    <t>AFG</t>
  </si>
  <si>
    <t>Angola</t>
  </si>
  <si>
    <t>Africa</t>
  </si>
  <si>
    <t>AGO</t>
  </si>
  <si>
    <t>Albania</t>
  </si>
  <si>
    <t>Europe</t>
  </si>
  <si>
    <t>ALB</t>
  </si>
  <si>
    <t>Andorra</t>
  </si>
  <si>
    <t>AND</t>
  </si>
  <si>
    <t>United Arab Emirates</t>
  </si>
  <si>
    <t>ARE</t>
  </si>
  <si>
    <t>Argentina</t>
  </si>
  <si>
    <t>ARG</t>
  </si>
  <si>
    <t>Armenia</t>
  </si>
  <si>
    <t>ARM</t>
  </si>
  <si>
    <t>American Samoa</t>
  </si>
  <si>
    <t>Oceania</t>
  </si>
  <si>
    <t>ASM</t>
  </si>
  <si>
    <t>Antigua and Barbuda</t>
  </si>
  <si>
    <t>ATG</t>
  </si>
  <si>
    <t>Australia</t>
  </si>
  <si>
    <t>AUS</t>
  </si>
  <si>
    <t>Austria</t>
  </si>
  <si>
    <t>AUT</t>
  </si>
  <si>
    <t>Azerbaijan</t>
  </si>
  <si>
    <t>AZE</t>
  </si>
  <si>
    <t>Burundi</t>
  </si>
  <si>
    <t>BDI</t>
  </si>
  <si>
    <t>Belgium</t>
  </si>
  <si>
    <t>BEL</t>
  </si>
  <si>
    <t>Benin</t>
  </si>
  <si>
    <t>BEN</t>
  </si>
  <si>
    <t>Burkina Faso</t>
  </si>
  <si>
    <t>BFA</t>
  </si>
  <si>
    <t>Bangladesh</t>
  </si>
  <si>
    <t>BGD</t>
  </si>
  <si>
    <t>Bulgaria</t>
  </si>
  <si>
    <t>BGR</t>
  </si>
  <si>
    <t>Bahrain</t>
  </si>
  <si>
    <t>BHR</t>
  </si>
  <si>
    <t>Bahamas, The</t>
  </si>
  <si>
    <t>BHS</t>
  </si>
  <si>
    <t>Bosnia and Herzegovina</t>
  </si>
  <si>
    <t>BIH</t>
  </si>
  <si>
    <t>Belarus</t>
  </si>
  <si>
    <t>BLR</t>
  </si>
  <si>
    <t>Belize</t>
  </si>
  <si>
    <t>BLZ</t>
  </si>
  <si>
    <t>Bermuda</t>
  </si>
  <si>
    <t>BMU</t>
  </si>
  <si>
    <t>Bolivia</t>
  </si>
  <si>
    <t>BOL</t>
  </si>
  <si>
    <t>Brazil</t>
  </si>
  <si>
    <t>BRA</t>
  </si>
  <si>
    <t>Barbados</t>
  </si>
  <si>
    <t>BRB</t>
  </si>
  <si>
    <t>Brunei Darussalam</t>
  </si>
  <si>
    <t>BRN</t>
  </si>
  <si>
    <t>Bhutan</t>
  </si>
  <si>
    <t>BTN</t>
  </si>
  <si>
    <t>Botswana</t>
  </si>
  <si>
    <t>BWA</t>
  </si>
  <si>
    <t>Central African Republic</t>
  </si>
  <si>
    <t>CAF</t>
  </si>
  <si>
    <t>Canada</t>
  </si>
  <si>
    <t>CAN</t>
  </si>
  <si>
    <t>Switzerland</t>
  </si>
  <si>
    <t>CHE</t>
  </si>
  <si>
    <t>Chile</t>
  </si>
  <si>
    <t>CHL</t>
  </si>
  <si>
    <t>China</t>
  </si>
  <si>
    <t>CHN</t>
  </si>
  <si>
    <t>Cote d'Ivoire</t>
  </si>
  <si>
    <t>CIV</t>
  </si>
  <si>
    <t>Cameroon</t>
  </si>
  <si>
    <t>CMR</t>
  </si>
  <si>
    <t>Congo, Dem. Rep.</t>
  </si>
  <si>
    <t>COD</t>
  </si>
  <si>
    <t>Congo, Rep.</t>
  </si>
  <si>
    <t>COG</t>
  </si>
  <si>
    <t>Colombia</t>
  </si>
  <si>
    <t>COL</t>
  </si>
  <si>
    <t>Comoros</t>
  </si>
  <si>
    <t>COM</t>
  </si>
  <si>
    <t>Cabo Verde</t>
  </si>
  <si>
    <t>CPV</t>
  </si>
  <si>
    <t>Costa Rica</t>
  </si>
  <si>
    <t>CRI</t>
  </si>
  <si>
    <t>Cuba</t>
  </si>
  <si>
    <t>CUB</t>
  </si>
  <si>
    <t>Curacao</t>
  </si>
  <si>
    <t>CUW</t>
  </si>
  <si>
    <t>Cayman Islands</t>
  </si>
  <si>
    <t>CYM</t>
  </si>
  <si>
    <t>Cyprus</t>
  </si>
  <si>
    <t>CYP</t>
  </si>
  <si>
    <t>Czech Republic</t>
  </si>
  <si>
    <t>CZE</t>
  </si>
  <si>
    <t>Germany</t>
  </si>
  <si>
    <t>DEU</t>
  </si>
  <si>
    <t>Djibouti</t>
  </si>
  <si>
    <t>DJI</t>
  </si>
  <si>
    <t>Dominica</t>
  </si>
  <si>
    <t>DMA</t>
  </si>
  <si>
    <t>Denmark</t>
  </si>
  <si>
    <t>DNK</t>
  </si>
  <si>
    <t>Dominican Republic</t>
  </si>
  <si>
    <t>DOM</t>
  </si>
  <si>
    <t>Algeria</t>
  </si>
  <si>
    <t>DZA</t>
  </si>
  <si>
    <t>Ecuador</t>
  </si>
  <si>
    <t>ECU</t>
  </si>
  <si>
    <t>Egypt, Arab Rep.</t>
  </si>
  <si>
    <t>EGY</t>
  </si>
  <si>
    <t>Eritrea</t>
  </si>
  <si>
    <t>ERI</t>
  </si>
  <si>
    <t>Spain</t>
  </si>
  <si>
    <t>ESP</t>
  </si>
  <si>
    <t>Estonia</t>
  </si>
  <si>
    <t>EST</t>
  </si>
  <si>
    <t>Ethiopia</t>
  </si>
  <si>
    <t>ETH</t>
  </si>
  <si>
    <t>Finland</t>
  </si>
  <si>
    <t>FIN</t>
  </si>
  <si>
    <t>Fiji</t>
  </si>
  <si>
    <t>FJI</t>
  </si>
  <si>
    <t>France</t>
  </si>
  <si>
    <t>FRA</t>
  </si>
  <si>
    <t>Faroe Islands</t>
  </si>
  <si>
    <t>FRO</t>
  </si>
  <si>
    <t>Micronesia, Fed. Sts.</t>
  </si>
  <si>
    <t>FSM</t>
  </si>
  <si>
    <t>Gabon</t>
  </si>
  <si>
    <t>GAB</t>
  </si>
  <si>
    <t>United Kingdom</t>
  </si>
  <si>
    <t>GBR</t>
  </si>
  <si>
    <t>Georgia</t>
  </si>
  <si>
    <t>GEO</t>
  </si>
  <si>
    <t>Ghana</t>
  </si>
  <si>
    <t>GHA</t>
  </si>
  <si>
    <t>Gibraltar</t>
  </si>
  <si>
    <t>GIB</t>
  </si>
  <si>
    <t>Guinea</t>
  </si>
  <si>
    <t>GIN</t>
  </si>
  <si>
    <t>Gambia, The</t>
  </si>
  <si>
    <t>GMB</t>
  </si>
  <si>
    <t>Guinea-Bissau</t>
  </si>
  <si>
    <t>GNB</t>
  </si>
  <si>
    <t>Equatorial Guinea</t>
  </si>
  <si>
    <t>GNQ</t>
  </si>
  <si>
    <t>Greece</t>
  </si>
  <si>
    <t>GRC</t>
  </si>
  <si>
    <t>Grenada</t>
  </si>
  <si>
    <t>GRD</t>
  </si>
  <si>
    <t>Greenland</t>
  </si>
  <si>
    <t>GRL</t>
  </si>
  <si>
    <t>Guatemala</t>
  </si>
  <si>
    <t>GTM</t>
  </si>
  <si>
    <t>Guam</t>
  </si>
  <si>
    <t>GUM</t>
  </si>
  <si>
    <t>Guyana</t>
  </si>
  <si>
    <t>GUY</t>
  </si>
  <si>
    <t>Hong Kong SAR, China</t>
  </si>
  <si>
    <t>HKG</t>
  </si>
  <si>
    <t>Honduras</t>
  </si>
  <si>
    <t>HND</t>
  </si>
  <si>
    <t>Croatia</t>
  </si>
  <si>
    <t>HRV</t>
  </si>
  <si>
    <t>Haiti</t>
  </si>
  <si>
    <t>HTI</t>
  </si>
  <si>
    <t>Hungary</t>
  </si>
  <si>
    <t>HUN</t>
  </si>
  <si>
    <t>Indonesia</t>
  </si>
  <si>
    <t>IDN</t>
  </si>
  <si>
    <t>Isle of Man</t>
  </si>
  <si>
    <t>IMN</t>
  </si>
  <si>
    <t>India</t>
  </si>
  <si>
    <t>IND</t>
  </si>
  <si>
    <t>Ireland</t>
  </si>
  <si>
    <t>IRL</t>
  </si>
  <si>
    <t>Iran, Islamic Rep.</t>
  </si>
  <si>
    <t>IRN</t>
  </si>
  <si>
    <t>Iraq</t>
  </si>
  <si>
    <t>IRQ</t>
  </si>
  <si>
    <t>Iceland</t>
  </si>
  <si>
    <t>ISL</t>
  </si>
  <si>
    <t>Israel</t>
  </si>
  <si>
    <t>ISR</t>
  </si>
  <si>
    <t>Italy</t>
  </si>
  <si>
    <t>ITA</t>
  </si>
  <si>
    <t>Jamaica</t>
  </si>
  <si>
    <t>JAM</t>
  </si>
  <si>
    <t>Jordan</t>
  </si>
  <si>
    <t>JOR</t>
  </si>
  <si>
    <t>Japan</t>
  </si>
  <si>
    <t>JPN</t>
  </si>
  <si>
    <t>Kazakhstan</t>
  </si>
  <si>
    <t>KAZ</t>
  </si>
  <si>
    <t>Kenya</t>
  </si>
  <si>
    <t>KEN</t>
  </si>
  <si>
    <t>Kyrgyz Republic</t>
  </si>
  <si>
    <t>KGZ</t>
  </si>
  <si>
    <t>Cambodia</t>
  </si>
  <si>
    <t>KHM</t>
  </si>
  <si>
    <t>Kiribati</t>
  </si>
  <si>
    <t>KIR</t>
  </si>
  <si>
    <t>St. Kitts and Nevis</t>
  </si>
  <si>
    <t>KNA</t>
  </si>
  <si>
    <t>Korea, Rep.</t>
  </si>
  <si>
    <t>KOR</t>
  </si>
  <si>
    <t>Kuwait</t>
  </si>
  <si>
    <t>KWT</t>
  </si>
  <si>
    <t>Lao PDR</t>
  </si>
  <si>
    <t>LAO</t>
  </si>
  <si>
    <t>Lebanon</t>
  </si>
  <si>
    <t>LBN</t>
  </si>
  <si>
    <t>Liberia</t>
  </si>
  <si>
    <t>LBR</t>
  </si>
  <si>
    <t>Libya</t>
  </si>
  <si>
    <t>LBY</t>
  </si>
  <si>
    <t>St. Lucia</t>
  </si>
  <si>
    <t>LCA</t>
  </si>
  <si>
    <t>Liechtenstein</t>
  </si>
  <si>
    <t>LIE</t>
  </si>
  <si>
    <t>Sri Lanka</t>
  </si>
  <si>
    <t>LKA</t>
  </si>
  <si>
    <t>Lesotho</t>
  </si>
  <si>
    <t>LSO</t>
  </si>
  <si>
    <t>Lithuania</t>
  </si>
  <si>
    <t>LTU</t>
  </si>
  <si>
    <t>Luxembourg</t>
  </si>
  <si>
    <t>LUX</t>
  </si>
  <si>
    <t>Latvia</t>
  </si>
  <si>
    <t>LVA</t>
  </si>
  <si>
    <t>Macao SAR, China</t>
  </si>
  <si>
    <t>MAC</t>
  </si>
  <si>
    <t>St. Martin (French part)</t>
  </si>
  <si>
    <t>MAF</t>
  </si>
  <si>
    <t>Morocco</t>
  </si>
  <si>
    <t>MAR</t>
  </si>
  <si>
    <t>Monaco</t>
  </si>
  <si>
    <t>MCO</t>
  </si>
  <si>
    <t>Moldova</t>
  </si>
  <si>
    <t>MDA</t>
  </si>
  <si>
    <t>Madagascar</t>
  </si>
  <si>
    <t>MDG</t>
  </si>
  <si>
    <t>Maldives</t>
  </si>
  <si>
    <t>MDV</t>
  </si>
  <si>
    <t>Mexico</t>
  </si>
  <si>
    <t>MEX</t>
  </si>
  <si>
    <t>Marshall Islands</t>
  </si>
  <si>
    <t>MHL</t>
  </si>
  <si>
    <t>Macedonia, FYR</t>
  </si>
  <si>
    <t>MKD</t>
  </si>
  <si>
    <t>Mali</t>
  </si>
  <si>
    <t>MLI</t>
  </si>
  <si>
    <t>Malta</t>
  </si>
  <si>
    <t>MLT</t>
  </si>
  <si>
    <t>Myanmar</t>
  </si>
  <si>
    <t>MMR</t>
  </si>
  <si>
    <t>Montenegro</t>
  </si>
  <si>
    <t>MNE</t>
  </si>
  <si>
    <t>Mongolia</t>
  </si>
  <si>
    <t>MNG</t>
  </si>
  <si>
    <t>Northern Mariana Islands</t>
  </si>
  <si>
    <t>MNP</t>
  </si>
  <si>
    <t>Mozambique</t>
  </si>
  <si>
    <t>MOZ</t>
  </si>
  <si>
    <t>Mauritania</t>
  </si>
  <si>
    <t>MRT</t>
  </si>
  <si>
    <t>Mauritius</t>
  </si>
  <si>
    <t>MUS</t>
  </si>
  <si>
    <t>Malawi</t>
  </si>
  <si>
    <t>MWI</t>
  </si>
  <si>
    <t>Malaysia</t>
  </si>
  <si>
    <t>MYS</t>
  </si>
  <si>
    <t>Namibia</t>
  </si>
  <si>
    <t>NAM</t>
  </si>
  <si>
    <t>New Caledonia</t>
  </si>
  <si>
    <t>NCL</t>
  </si>
  <si>
    <t>Niger</t>
  </si>
  <si>
    <t>NER</t>
  </si>
  <si>
    <t>Nigeria</t>
  </si>
  <si>
    <t>NGA</t>
  </si>
  <si>
    <t>Nicaragua</t>
  </si>
  <si>
    <t>NIC</t>
  </si>
  <si>
    <t>Netherlands</t>
  </si>
  <si>
    <t>NLD</t>
  </si>
  <si>
    <t>Norway</t>
  </si>
  <si>
    <t>NOR</t>
  </si>
  <si>
    <t>Nepal</t>
  </si>
  <si>
    <t>NPL</t>
  </si>
  <si>
    <t>Nauru</t>
  </si>
  <si>
    <t>NRU</t>
  </si>
  <si>
    <t>New Zealand</t>
  </si>
  <si>
    <t>NZL</t>
  </si>
  <si>
    <t>Oman</t>
  </si>
  <si>
    <t>OMN</t>
  </si>
  <si>
    <t>Pakistan</t>
  </si>
  <si>
    <t>PAK</t>
  </si>
  <si>
    <t>Panama</t>
  </si>
  <si>
    <t>PAN</t>
  </si>
  <si>
    <t>Peru</t>
  </si>
  <si>
    <t>PER</t>
  </si>
  <si>
    <t>Philippines</t>
  </si>
  <si>
    <t>PHL</t>
  </si>
  <si>
    <t>Palau</t>
  </si>
  <si>
    <t>PLW</t>
  </si>
  <si>
    <t>Papua New Guinea</t>
  </si>
  <si>
    <t>PNG</t>
  </si>
  <si>
    <t>Poland</t>
  </si>
  <si>
    <t>POL</t>
  </si>
  <si>
    <t>Puerto Rico</t>
  </si>
  <si>
    <t>PRI</t>
  </si>
  <si>
    <t>Korea, Dem. People’s Rep.</t>
  </si>
  <si>
    <t>PRK</t>
  </si>
  <si>
    <t>Portugal</t>
  </si>
  <si>
    <t>PRT</t>
  </si>
  <si>
    <t>Paraguay</t>
  </si>
  <si>
    <t>PRY</t>
  </si>
  <si>
    <t>West Bank and Gaza</t>
  </si>
  <si>
    <t>PSE</t>
  </si>
  <si>
    <t>French Polynesia</t>
  </si>
  <si>
    <t>PYF</t>
  </si>
  <si>
    <t>Qatar</t>
  </si>
  <si>
    <t>QAT</t>
  </si>
  <si>
    <t>Romania</t>
  </si>
  <si>
    <t>ROU</t>
  </si>
  <si>
    <t>Russian Federation</t>
  </si>
  <si>
    <t>RUS</t>
  </si>
  <si>
    <t>Rwanda</t>
  </si>
  <si>
    <t>RWA</t>
  </si>
  <si>
    <t>Saudi Arabia</t>
  </si>
  <si>
    <t>SAU</t>
  </si>
  <si>
    <t>Sudan</t>
  </si>
  <si>
    <t>SDN</t>
  </si>
  <si>
    <t>Senegal</t>
  </si>
  <si>
    <t>SEN</t>
  </si>
  <si>
    <t>Singapore</t>
  </si>
  <si>
    <t>SGP</t>
  </si>
  <si>
    <t>Solomon Islands</t>
  </si>
  <si>
    <t>SLB</t>
  </si>
  <si>
    <t>Sierra Leone</t>
  </si>
  <si>
    <t>SLE</t>
  </si>
  <si>
    <t>El Salvador</t>
  </si>
  <si>
    <t>SLV</t>
  </si>
  <si>
    <t>San Marino</t>
  </si>
  <si>
    <t>SMR</t>
  </si>
  <si>
    <t>Somalia</t>
  </si>
  <si>
    <t>SOM</t>
  </si>
  <si>
    <t>Serbia</t>
  </si>
  <si>
    <t>SRB</t>
  </si>
  <si>
    <t>South Sudan</t>
  </si>
  <si>
    <t>SSD</t>
  </si>
  <si>
    <t>Sao Tome and Principe</t>
  </si>
  <si>
    <t>STP</t>
  </si>
  <si>
    <t>Suriname</t>
  </si>
  <si>
    <t>SUR</t>
  </si>
  <si>
    <t>Slovak Republic</t>
  </si>
  <si>
    <t>SVK</t>
  </si>
  <si>
    <t>Slovenia</t>
  </si>
  <si>
    <t>SVN</t>
  </si>
  <si>
    <t>Sweden</t>
  </si>
  <si>
    <t>SWE</t>
  </si>
  <si>
    <t>Swaziland</t>
  </si>
  <si>
    <t>SWZ</t>
  </si>
  <si>
    <t>Sint Maarten (Dutch part)</t>
  </si>
  <si>
    <t>SXM</t>
  </si>
  <si>
    <t>Seychelles</t>
  </si>
  <si>
    <t>SYC</t>
  </si>
  <si>
    <t>Syrian Arab Republic</t>
  </si>
  <si>
    <t>SYR</t>
  </si>
  <si>
    <t>Turks and Caicos Islands</t>
  </si>
  <si>
    <t>TCA</t>
  </si>
  <si>
    <t>Chad</t>
  </si>
  <si>
    <t>TCD</t>
  </si>
  <si>
    <t>Togo</t>
  </si>
  <si>
    <t>TGO</t>
  </si>
  <si>
    <t>Thailand</t>
  </si>
  <si>
    <t>THA</t>
  </si>
  <si>
    <t>Tajikistan</t>
  </si>
  <si>
    <t>TJK</t>
  </si>
  <si>
    <t>Turkmenistan</t>
  </si>
  <si>
    <t>TKM</t>
  </si>
  <si>
    <t>Timor-Leste</t>
  </si>
  <si>
    <t>TLS</t>
  </si>
  <si>
    <t>Tonga</t>
  </si>
  <si>
    <t>TON</t>
  </si>
  <si>
    <t>Trinidad and Tobago</t>
  </si>
  <si>
    <t>TTO</t>
  </si>
  <si>
    <t>Tunisia</t>
  </si>
  <si>
    <t>TUN</t>
  </si>
  <si>
    <t>Turkey</t>
  </si>
  <si>
    <t>TUR</t>
  </si>
  <si>
    <t>Tuvalu</t>
  </si>
  <si>
    <t>TUV</t>
  </si>
  <si>
    <t>Tanzania</t>
  </si>
  <si>
    <t>TZA</t>
  </si>
  <si>
    <t>Uganda</t>
  </si>
  <si>
    <t>UGA</t>
  </si>
  <si>
    <t>Ukraine</t>
  </si>
  <si>
    <t>UKR</t>
  </si>
  <si>
    <t>Uruguay</t>
  </si>
  <si>
    <t>URY</t>
  </si>
  <si>
    <t>United States</t>
  </si>
  <si>
    <t>USA</t>
  </si>
  <si>
    <t>Uzbekistan</t>
  </si>
  <si>
    <t>UZB</t>
  </si>
  <si>
    <t>St. Vincent and the Grenadines</t>
  </si>
  <si>
    <t>VCT</t>
  </si>
  <si>
    <t>Venezuela, RB</t>
  </si>
  <si>
    <t>VEN</t>
  </si>
  <si>
    <t>British Virgin Islands</t>
  </si>
  <si>
    <t>VGB</t>
  </si>
  <si>
    <t>Virgin Islands (U.S.)</t>
  </si>
  <si>
    <t>VIR</t>
  </si>
  <si>
    <t>Vietnam</t>
  </si>
  <si>
    <t>VNM</t>
  </si>
  <si>
    <t>Vanuatu</t>
  </si>
  <si>
    <t>VUT</t>
  </si>
  <si>
    <t>Samoa</t>
  </si>
  <si>
    <t>WSM</t>
  </si>
  <si>
    <t>Kosovo</t>
  </si>
  <si>
    <t>XKX</t>
  </si>
  <si>
    <t>Yemen, Rep.</t>
  </si>
  <si>
    <t>YEM</t>
  </si>
  <si>
    <t>South Africa</t>
  </si>
  <si>
    <t>ZAF</t>
  </si>
  <si>
    <t>Zambia</t>
  </si>
  <si>
    <t>ZMB</t>
  </si>
  <si>
    <t>Zimbabwe</t>
  </si>
  <si>
    <t>ZWE</t>
  </si>
  <si>
    <t>Average Africa</t>
  </si>
  <si>
    <t>Average Americas</t>
  </si>
  <si>
    <t>Average Asia</t>
  </si>
  <si>
    <t>Average Europe</t>
  </si>
  <si>
    <t>Average Oceania</t>
  </si>
  <si>
    <t>World</t>
  </si>
  <si>
    <t>Deutsch</t>
  </si>
  <si>
    <t>Italiano</t>
  </si>
  <si>
    <t>English</t>
  </si>
  <si>
    <t>Español</t>
  </si>
  <si>
    <t>Francais</t>
  </si>
  <si>
    <t>Portugues</t>
  </si>
  <si>
    <t>Griechisch</t>
  </si>
  <si>
    <t>GEMEINWOHL-RECHNER</t>
  </si>
  <si>
    <t>Calcolatore del Bene Comune</t>
  </si>
  <si>
    <t>BALANCE SHEET CALCULATOR</t>
  </si>
  <si>
    <t>CALCULADORA DEL BIEN COMÚN</t>
  </si>
  <si>
    <t>© GWÖ</t>
  </si>
  <si>
    <t>© Economia del Bene Comune</t>
  </si>
  <si>
    <t>© ECG</t>
  </si>
  <si>
    <t>© Economía del Bien Común</t>
  </si>
  <si>
    <t>Version</t>
  </si>
  <si>
    <t>Versione</t>
  </si>
  <si>
    <t>Versión</t>
  </si>
  <si>
    <t>Versão</t>
  </si>
  <si>
    <t>HERZLICH WILLKOMMEN!</t>
  </si>
  <si>
    <t>Benvenuto!</t>
  </si>
  <si>
    <t>WELCOME!</t>
  </si>
  <si>
    <t>¡Bienvenid@!</t>
  </si>
  <si>
    <t>Dieses Tool dient zur Berechnung der Gemeinwohl-Punkte Ihres Unternehmens. Es ist eine Ergänzung zum Gemeinwohlbericht und muss gemeinsam mit diesem genutzt werden.  Wir wünschen gutes Gelingen!</t>
  </si>
  <si>
    <t>Può utilizzare questo strumento per calcolare i punti del bene comune della sua impresa. Serve quale completamento alla relazione del bene comune e deve essere utilizzato assieme a questo.
Le auguriamo buon divertimento in questa attività di calcolo!</t>
  </si>
  <si>
    <t>This tool is for calculating the overall Common Good Points for your company or organisation. It complements the Common Good Report and has to be used together with it. Have fun with your calculation!</t>
  </si>
  <si>
    <t>Esta herramienta sirve para calcular la puntuación de su empresa de acuerdo al balance del Bien Común. Esta hoja de cálculo es complementaria al informe del Bien Común y debe utilizarse por tanto conjuntamente. ¡Buena suerte!</t>
  </si>
  <si>
    <t>WIE SIE DEN BILANZ-RECHNER RICHTIG VERWENDEN:</t>
  </si>
  <si>
    <t>Come utilizzare correttamente il calcolatore del bilancio:</t>
  </si>
  <si>
    <t>HOW TO USE THE BALANCE SHEET CALCULATOR:</t>
  </si>
  <si>
    <t>Cómo utilizar la calculadora del Bien Común correctamente</t>
  </si>
  <si>
    <t>1. Allgemeines</t>
  </si>
  <si>
    <t>1. Generale</t>
  </si>
  <si>
    <t>1. General</t>
  </si>
  <si>
    <t>Hier können Sie allgemeinen Angaben zu Ihrem Unternehmen machen.</t>
  </si>
  <si>
    <t>Qui può indicare tutte le informazioni e dati della sua impresa</t>
  </si>
  <si>
    <t>You can enter general information about your company or organisation in this section.</t>
  </si>
  <si>
    <t>En esta hoja puedes introducir información general sobre tu organización o empresa</t>
  </si>
  <si>
    <t xml:space="preserve">Hier müssen alle geforderten Kenngrößen eingetragen werden, da diese für die Gewichtung der Themen essentiell sind. </t>
  </si>
  <si>
    <t>Qui devono essere inseriti tutti i parametri richiesti, poiché questi sono essenziali per la ponderazione degli argomenti.</t>
  </si>
  <si>
    <t>All fields in this section must be completed as they are essential for the weighting of each theme.</t>
  </si>
  <si>
    <t>En esta hoja debes introducir todos los datos requeridos, pues el cálculo de la ponderación depende de ellos</t>
  </si>
  <si>
    <t>Für jedes Thema (A1, B1, ...) kann eine bestimmte Anzahl an Gemeinwohl-Punkten erreicht werden. Um zu ermitteln, wie viele davon Ihr Unternehmen erhält, gehen Sie wie folgt vor:</t>
  </si>
  <si>
    <t>Per ogni tema (A1, B1, ...) può essere raggiunto un determinate valore di punteggio del bene comune. Per ricavare, che punteggio ottiene la Sua impresa proceda nel modo seguente:</t>
  </si>
  <si>
    <t>For each theme (A1, B1, ...) a certain maximum number of Common Good Points can be achieved. To evaluate how many points your company scores, follow these steps:</t>
  </si>
  <si>
    <t>Para cada tema (A1, B1, …) puede obtenerse una puntuación determinada. Para calcular cuál obtiene su empresa, siga los pasos siguientes:</t>
  </si>
  <si>
    <r>
      <rPr>
        <sz val="11"/>
        <color indexed="8"/>
        <rFont val="Calibri"/>
        <family val="2"/>
      </rPr>
      <t>Beschreiben Sie auf Basis des Arbeitsbuchs in wenigen Stichworten</t>
    </r>
    <r>
      <rPr>
        <b/>
        <sz val="11"/>
        <color indexed="8"/>
        <rFont val="Calibri"/>
        <family val="2"/>
      </rPr>
      <t xml:space="preserve"> Ist-Zustand und Verbesserungspotenzial</t>
    </r>
    <r>
      <rPr>
        <sz val="11"/>
        <color indexed="8"/>
        <rFont val="Calibri"/>
        <family val="2"/>
      </rPr>
      <t xml:space="preserve"> für die verschiedenen Aspekte (optional, ist für die Berechnung nicht unbedingt notwendig).</t>
    </r>
  </si>
  <si>
    <t>Descrivi sulla base del libro di esercizi in poche parole chiave lo stato attuale e il potenziale di miglioramento per i diversi aspetti (facoltativo, non è assolutamente necessario per il calcolo).</t>
  </si>
  <si>
    <t>Describe the current status and potential for improvement for the various aspects under key headings. Use the workbook as a reference. (This is optional and not absolutely necessary for the calculation.)</t>
  </si>
  <si>
    <t>Describa en pocas palabras, de acuerdo al manual del Balance del Bien Común, cuál es el estado actual y el potencial de mejora para cada uno de los aspectos (opcional, no es necesario para el cálculo de la puntuación).</t>
  </si>
  <si>
    <t>Geben Sie - aufbauend auf diesen Beschreibungen - an, entsprechend welchem Skalenwert (0-10) Ihrer Meinung nach der jeweilige Aspekt erfüllt ist (Spalte "Erfüllungsgrad"). Anhaltspunkte zur Wahl des "richtigen" Skalenwerts finden Sie wiederum im Arbeitsbuch.</t>
  </si>
  <si>
    <t>In base a queste descrizioni, indica in base a quale valore di scala (0-10) pensi che il rispettivo aspetto sia soddisfatto (colonna "grado di realizzazione"). Troverete indizi per scegliere il valore di scala "corretto" nella cartella di lavoro.</t>
  </si>
  <si>
    <t>Based on these descriptions, indicate on a scale of 0-10 how far you consider the respective aspect is met (Achievement level). The criteria for choosing the correct value can be found in the Workbook.</t>
  </si>
  <si>
    <t>A partir de las descripciones previas, introduzca una puntuación de 0 a 10 que indique, según su opinión, el nivel de satisfacción de cada aspecto. Los niveles de referencia para la puntuación y otras indicaciones al respecto se encuentran en el manual.</t>
  </si>
  <si>
    <t xml:space="preserve">Für die Bewertung der Negativaspekte geben Sie Punktewerte entsprechend der Beschreibungen im Arbeitsbuch an. </t>
  </si>
  <si>
    <t>Per la valutazione degli aspetti negativi si indicano i valori dei punti in base alle descrizioni nel manuale.</t>
  </si>
  <si>
    <t>Negative aspects are allocated negative points according to the descriptions set out in the Workbook.</t>
  </si>
  <si>
    <t>Para aportar una puntuación a cada uno de los aspectos negativos utilice las indicaciones del manual.</t>
  </si>
  <si>
    <t>Sie können, wenn es für ihr Unternehmen notwendig erscheint, in Abstimmung mit der AuditorIn die relativen Gewichtungen der einzelnen Aspekte (A1.1, A1.2, ...) verändern. In der Spalte "Gewichtung" ("Gew.") können Sie für jeden Aspekt Werte auswählen. Die Verteilung der möglichen Punkte auf die einzelnen Aspekte wird dann automatisch angepasst, sodass die Summe aller Aspekte eines Themas immer 100% ergibt.</t>
  </si>
  <si>
    <t>È possibile modificare le ponderazioni relative dei singoli aspetti (A1.1, A1.2, ...), se necessario per la propria azienda, in consultazione con l’auitor. Nella colonna "Peso", è possibile selezionare i valori per ogni aspetto. La distribuzione dei possibili punti sui singoli aspetti viene quindi regolata automaticamente, in modo che la somma di tutti gli aspetti di un argomento sia sempre al 100%.</t>
  </si>
  <si>
    <t>Where deemed necessary for your company and in agreement with the auditors you can change the relative weightings of individual aspects (A1.1, A1.2, ..). In the column Weighting, you can select values for each aspect. The distribution of available points for individual aspects will then be adjusted automatically, so that the total of all aspects of an indicator result in 100%.</t>
  </si>
  <si>
    <t>Puede cambiar las ponderaciones que realiza la hoja de cálculo por defecto, siempre y cuando la auditoría esté de acuerdo. En la columna “Ponderación” puede seleccionar una opción del catálogo. La distribución de los puntos de cada uno de los aspectos se realiza automáticamente, de tal manera que la suma de todos los aspectos del tema siempre tiene como resultado el 100%.</t>
  </si>
  <si>
    <r>
      <rPr>
        <sz val="11"/>
        <color indexed="8"/>
        <rFont val="Calibri"/>
        <family val="2"/>
      </rPr>
      <t xml:space="preserve">Bei der Berechnung werden die Gesamtwerte pro Thema automatisch entsprechend der Angaben im Faktenblatt </t>
    </r>
    <r>
      <rPr>
        <b/>
        <sz val="11"/>
        <color indexed="8"/>
        <rFont val="Calibri"/>
        <family val="2"/>
      </rPr>
      <t>gewichtet</t>
    </r>
    <r>
      <rPr>
        <sz val="11"/>
        <color indexed="8"/>
        <rFont val="Calibri"/>
        <family val="2"/>
      </rPr>
      <t xml:space="preserve"> und auf ganzzahlige Vielfache von 10% </t>
    </r>
    <r>
      <rPr>
        <b/>
        <sz val="11"/>
        <color indexed="8"/>
        <rFont val="Calibri"/>
        <family val="2"/>
      </rPr>
      <t>gerundet</t>
    </r>
    <r>
      <rPr>
        <sz val="11"/>
        <color indexed="8"/>
        <rFont val="Calibri"/>
        <family val="2"/>
      </rPr>
      <t>.</t>
    </r>
  </si>
  <si>
    <t>Nel calcolo, i totali per argomento vengono automaticamente ponderati in base alla scheda informativa e arrotondati ai multipli interi del 10%.</t>
  </si>
  <si>
    <t>The calculation automatically weights each theme’s total value against the data in the ‘Company details’ section and rounds it to a whole-number multiple of 10%.</t>
  </si>
  <si>
    <t>Los valores introducidos son ponderados de acuerdo a los datos introducidos en la hoja 2. Company Facts. El resultado es redondeado y presentado como número entero.</t>
  </si>
  <si>
    <t>Die "GW-Matrix" bietet einen tabellarischen Überblick über Ihr Ergebnis.</t>
  </si>
  <si>
    <t>La "matrice EBC" fornisce una panoramica tabellare del risultato.</t>
  </si>
  <si>
    <t>The ECG-Matrix displays your result in a table.</t>
  </si>
  <si>
    <t>La hoja “ECG-Matrix” muestra los resultados en una tabla resumen.</t>
  </si>
  <si>
    <r>
      <rPr>
        <sz val="11"/>
        <color indexed="8"/>
        <rFont val="Calibri"/>
        <family val="2"/>
      </rPr>
      <t xml:space="preserve">Die "GW-Matrix" bietet einen </t>
    </r>
    <r>
      <rPr>
        <b/>
        <sz val="11"/>
        <color indexed="8"/>
        <rFont val="Calibri"/>
        <family val="2"/>
      </rPr>
      <t>tabellarischen Blick auf Ihr Ergebnis</t>
    </r>
    <r>
      <rPr>
        <sz val="11"/>
        <color indexed="8"/>
        <rFont val="Calibri"/>
        <family val="2"/>
      </rPr>
      <t>.</t>
    </r>
  </si>
  <si>
    <t>La "matrice EBC" offre una vista tabellare del risultato.</t>
  </si>
  <si>
    <t>The ECG Matrix displays your result in a table.</t>
  </si>
  <si>
    <t>La hoja “ECG-Matrix” muestra los resultados de la puntuación presentando una vista general en forma de matriz (tabla).</t>
  </si>
  <si>
    <r>
      <rPr>
        <sz val="11"/>
        <color indexed="8"/>
        <rFont val="Calibri"/>
        <family val="2"/>
      </rPr>
      <t xml:space="preserve">Der "Werte-Stern" zeigt schließlich Ihr </t>
    </r>
    <r>
      <rPr>
        <b/>
        <sz val="11"/>
        <color indexed="8"/>
        <rFont val="Calibri"/>
        <family val="2"/>
      </rPr>
      <t>Ergebnis nach Werten gegliedert</t>
    </r>
    <r>
      <rPr>
        <sz val="11"/>
        <color indexed="8"/>
        <rFont val="Calibri"/>
        <family val="2"/>
      </rPr>
      <t xml:space="preserve"> in graphischer Form.</t>
    </r>
  </si>
  <si>
    <t>La "stella dei valori" mostra infine il risultato in base a valori strutturati in forma grafica.</t>
  </si>
  <si>
    <t>The values-star displays your result arranged by value as a graphic.</t>
  </si>
  <si>
    <t>La hoja “Values” muestra un diagrama de araña en el que se muestran las puntuaciones según “valor” o columna de la matriz.</t>
  </si>
  <si>
    <r>
      <rPr>
        <sz val="11"/>
        <color indexed="8"/>
        <rFont val="Calibri"/>
        <family val="2"/>
      </rPr>
      <t xml:space="preserve">Der "Gruppen-Stern" zeigt schließlich Ihr </t>
    </r>
    <r>
      <rPr>
        <b/>
        <sz val="11"/>
        <color indexed="8"/>
        <rFont val="Calibri"/>
        <family val="2"/>
      </rPr>
      <t>Ergebnis nach Berührungsgruppen</t>
    </r>
    <r>
      <rPr>
        <sz val="11"/>
        <color indexed="8"/>
        <rFont val="Calibri"/>
        <family val="2"/>
      </rPr>
      <t xml:space="preserve"> gegliedert in graphischer Form.</t>
    </r>
  </si>
  <si>
    <t>La "stella dei gruppi" mostra infine il risultato in base a gruppi d’interesse  strutturati in forma grafica.</t>
  </si>
  <si>
    <t>The group-star displays your result arranged by stakeholder as a graphic.</t>
  </si>
  <si>
    <t>La hoja “Stakeholders” muestra un diagrama de araña en el que se muestran las puntuaciones según “grupo de interés” o fila de la matriz.</t>
  </si>
  <si>
    <r>
      <rPr>
        <sz val="11"/>
        <color indexed="8"/>
        <rFont val="Calibri"/>
        <family val="2"/>
      </rPr>
      <t>Der "Themen-Stern" zeigt schließlich Ihr Ergebnis in</t>
    </r>
    <r>
      <rPr>
        <b/>
        <sz val="11"/>
        <color indexed="8"/>
        <rFont val="Calibri"/>
        <family val="2"/>
      </rPr>
      <t xml:space="preserve"> allen Themen in graphischer Form</t>
    </r>
    <r>
      <rPr>
        <sz val="11"/>
        <color indexed="8"/>
        <rFont val="Calibri"/>
        <family val="2"/>
      </rPr>
      <t>.</t>
    </r>
  </si>
  <si>
    <t>La "stella dei temi" mostra finalmente il risultato in tutti i temi in forma grafica.</t>
  </si>
  <si>
    <t>The theme-star displays the result of your themes as a graphic.</t>
  </si>
  <si>
    <t>La hoja “Topics” muestra un diagrama de araña en el que se muestran las puntuaciones de cada tema.</t>
  </si>
  <si>
    <r>
      <rPr>
        <sz val="11"/>
        <color indexed="8"/>
        <rFont val="Calibri"/>
        <family val="2"/>
      </rPr>
      <t xml:space="preserve">Hier finden Sie eine </t>
    </r>
    <r>
      <rPr>
        <b/>
        <sz val="11"/>
        <color indexed="8"/>
        <rFont val="Calibri"/>
        <family val="2"/>
      </rPr>
      <t>Beschreibung der Gewichtungsmodelles</t>
    </r>
    <r>
      <rPr>
        <sz val="11"/>
        <color indexed="8"/>
        <rFont val="Calibri"/>
        <family val="2"/>
      </rPr>
      <t xml:space="preserve">. </t>
    </r>
  </si>
  <si>
    <t>Qui potete trovare una descrizione del modello di ponderazione.</t>
  </si>
  <si>
    <t>This is a description of the weighting model.</t>
  </si>
  <si>
    <t>En la hoja “Descr. Weighting” se encuentra una descripción del método de ponderación.</t>
  </si>
  <si>
    <r>
      <rPr>
        <sz val="11"/>
        <color indexed="8"/>
        <rFont val="Calibri"/>
        <family val="2"/>
      </rPr>
      <t xml:space="preserve">Hier erfolgt die </t>
    </r>
    <r>
      <rPr>
        <b/>
        <sz val="11"/>
        <color indexed="8"/>
        <rFont val="Calibri"/>
        <family val="2"/>
      </rPr>
      <t>Berechnung wie die einzelnen Berührungsgruppen und Themen gewichtet werden</t>
    </r>
    <r>
      <rPr>
        <sz val="11"/>
        <color indexed="8"/>
        <rFont val="Calibri"/>
        <family val="2"/>
      </rPr>
      <t>.</t>
    </r>
  </si>
  <si>
    <t>Qui il calcolo avviene come vengono pesati i singoli gruppi d’interesse ed i temi.</t>
  </si>
  <si>
    <t>This is where the calculation determines how the individual stakeholder groups and themes are weighted.</t>
  </si>
  <si>
    <t>En la hoja “Weighting” se realiza el cálculo para las ponderaciones de los grupos de interés y temas.</t>
  </si>
  <si>
    <r>
      <rPr>
        <sz val="11"/>
        <color indexed="8"/>
        <rFont val="Calibri"/>
        <family val="2"/>
      </rPr>
      <t xml:space="preserve">Enthält Einschätzungen der Relevanz von Zulieferkette und ökologische Nachhaltigkeit für alle </t>
    </r>
    <r>
      <rPr>
        <b/>
        <sz val="11"/>
        <color indexed="8"/>
        <rFont val="Calibri"/>
        <family val="2"/>
      </rPr>
      <t>Branchen,</t>
    </r>
    <r>
      <rPr>
        <sz val="11"/>
        <color indexed="8"/>
        <rFont val="Calibri"/>
        <family val="2"/>
      </rPr>
      <t xml:space="preserve">, die für die Gewichtung herangezogen werden. </t>
    </r>
  </si>
  <si>
    <t>Include stime della dell'importanza della rete dei fornitori e della sostenibilità ambientale per tutti i settori utilizzati per la ponderazione.</t>
  </si>
  <si>
    <t>This contains an assessment of the relevance of supply chains and environmental sustainability for all industry sectors, used in the weighting.</t>
  </si>
  <si>
    <t>Esta hoja contiene estimaciones sobre la relevancia de la cadena de suministro y sostenibilidad medioambiental de todos los sectores. Esta información se utiliza para realizar la ponderación.</t>
  </si>
  <si>
    <t xml:space="preserve">Enthält Statistiken für Länder und Regionen, die für die Gewichtung herangezogen werden. </t>
  </si>
  <si>
    <t>Contiene statistiche per paesi e regioni utilizzati per la ponderazione.</t>
  </si>
  <si>
    <t>This contains statistics for countries and regions used in the weighting.</t>
  </si>
  <si>
    <t>Esta hoja contiene estadísticas de países y regiones que son utilizadas para realizar las ponderaciones.</t>
  </si>
  <si>
    <t>2. Fakten zum Unternehmen</t>
  </si>
  <si>
    <t>2. Fatti sull'impresa</t>
  </si>
  <si>
    <t>2. Company details</t>
  </si>
  <si>
    <t>2. Datos de la empresa</t>
  </si>
  <si>
    <t>3. Berechnung</t>
  </si>
  <si>
    <t>3. calcolo</t>
  </si>
  <si>
    <t>3. Scoring</t>
  </si>
  <si>
    <t>3. Cálculo</t>
  </si>
  <si>
    <t>4. GW-Matrix</t>
  </si>
  <si>
    <t>4. matrice del bene comune</t>
  </si>
  <si>
    <t>4. ECG Matrix</t>
  </si>
  <si>
    <t>4. Matriz EBC</t>
  </si>
  <si>
    <t>5. Werte-Stern</t>
  </si>
  <si>
    <t>5. valori stella</t>
  </si>
  <si>
    <t>5. Values star</t>
  </si>
  <si>
    <t>5. Diagrama valores</t>
  </si>
  <si>
    <t>6. Gruppen-Stern</t>
  </si>
  <si>
    <t>6. gruppi stella</t>
  </si>
  <si>
    <t>6. Group star</t>
  </si>
  <si>
    <t>6. Diagrama grupos de interés</t>
  </si>
  <si>
    <t>7. Themen-Stern</t>
  </si>
  <si>
    <t>7. argomenti stella</t>
  </si>
  <si>
    <t>7. Theme star</t>
  </si>
  <si>
    <t>7. Diagrama temas</t>
  </si>
  <si>
    <t>8. Beschreibung Gewichtungsmodell</t>
  </si>
  <si>
    <t>8. Modello di ponderazione della descrizione</t>
  </si>
  <si>
    <t>8. Weighting model description</t>
  </si>
  <si>
    <t>8. Descripción del método de ponderación</t>
  </si>
  <si>
    <t>9. Gewichtung (ausgeblendet)</t>
  </si>
  <si>
    <t>9. Ponderazione (nascosta)</t>
  </si>
  <si>
    <t>9. Weighting (hidden)</t>
  </si>
  <si>
    <t>9. Ponderación (oculta)</t>
  </si>
  <si>
    <t>10. Branchen (ausgeblendet)</t>
  </si>
  <si>
    <t>10. Settori (nascosti)</t>
  </si>
  <si>
    <t>10. Industry sectors (hidden)</t>
  </si>
  <si>
    <t>10. Sectores (oculta)</t>
  </si>
  <si>
    <t>11. Länder und Regionen (ausgeblendet)</t>
  </si>
  <si>
    <t>11. Paesi e regioni (nascosti)</t>
  </si>
  <si>
    <t>11. Countries (hidden)</t>
  </si>
  <si>
    <t>11. Países y regiones (oculta)</t>
  </si>
  <si>
    <t>LEGENDE</t>
  </si>
  <si>
    <t>LEGENDA</t>
  </si>
  <si>
    <t>KEY</t>
  </si>
  <si>
    <t>LEYENDA</t>
  </si>
  <si>
    <t>Feld ist beschreibbar (grüner Rahmen, dunkelgrüne Schrift)</t>
  </si>
  <si>
    <t>Il campo è descrivibile (cornici nere, scritta verde scuro)</t>
  </si>
  <si>
    <t>Field is editable (green frame, dark green text)</t>
  </si>
  <si>
    <t>Celda editable (borde verde, letra verde oscura)</t>
  </si>
  <si>
    <t>Feld ist nicht beschreibbar (grauer Rahmen, dunkelgraue Schrift)</t>
  </si>
  <si>
    <t>Il campo non è descrivibile (cornice grigia, scritta grigio scuro)</t>
  </si>
  <si>
    <t>Feld is read-only (grey frame, dark grey text)</t>
  </si>
  <si>
    <t>Celda protegida (borde gris, letra gris oscura)</t>
  </si>
  <si>
    <t>unerlaubter Wert eingegeben (zur korrekten Berechnung Wert ändern)</t>
  </si>
  <si>
    <t>È stato inserito un valore non permesso (per un calcolo corretto cambiare valore)</t>
  </si>
  <si>
    <t>non valid value entry (for correct calculation change value)</t>
  </si>
  <si>
    <t>Valor erróneo (cambie el valor para realizar un cálculo correcto)</t>
  </si>
  <si>
    <t>ja</t>
  </si>
  <si>
    <t>si</t>
  </si>
  <si>
    <t>yes</t>
  </si>
  <si>
    <t>Sí</t>
  </si>
  <si>
    <t>nein</t>
  </si>
  <si>
    <t>no</t>
  </si>
  <si>
    <t>No</t>
  </si>
  <si>
    <t>Pas</t>
  </si>
  <si>
    <t>Nao</t>
  </si>
  <si>
    <t>KONTAKT</t>
  </si>
  <si>
    <t>CONTATTO</t>
  </si>
  <si>
    <t>CONTACT</t>
  </si>
  <si>
    <t>CONTACTO</t>
  </si>
  <si>
    <t>Fragen zur Bilanz-Erstellung: beratung@gemeinwohl-oekonomie.org (GWÖ-BeraterInnen);</t>
  </si>
  <si>
    <t>Domande per il bilancio: info@economia-del-ben-comune.it (consulenti EBC)</t>
  </si>
  <si>
    <t>Questions regarding preparation of balance sheet:
beratung@gemeinwohl-oekonomie.org (GWÖ-BeraterInnen);</t>
  </si>
  <si>
    <t>Preguntas sobre como elaborar el balance del Bien Común: nodo-empresas@economia-del-bien-comun.es</t>
  </si>
  <si>
    <t>Fragen zur Auditierung: audit@gemeinwohl-oekonomie.org (GWÖ-AuditorInnen);</t>
  </si>
  <si>
    <t>Domande per l'audit: audit@febc.eu (Verificatori/auditori EBC)</t>
  </si>
  <si>
    <t>Questions regarding audit: audit@gemeinwohl-oekonomie.org (GWÖ-AuditorInnen);</t>
  </si>
  <si>
    <t>Preguntas sobre la auditoría: nodo-empresas@economia-del-bien-comun.es</t>
  </si>
  <si>
    <r>
      <rPr>
        <sz val="11"/>
        <color indexed="8"/>
        <rFont val="Calibri"/>
        <family val="2"/>
      </rPr>
      <t xml:space="preserve">Weiterentwicklung der Matrix: </t>
    </r>
    <r>
      <rPr>
        <u/>
        <sz val="11"/>
        <color indexed="8"/>
        <rFont val="Calibri"/>
        <family val="2"/>
      </rPr>
      <t>bilanz@ecogood.org</t>
    </r>
    <r>
      <rPr>
        <sz val="11"/>
        <color indexed="8"/>
        <rFont val="Calibri"/>
        <family val="2"/>
      </rPr>
      <t xml:space="preserve"> (GWÖ-Matrix Entwicklungsteam);</t>
    </r>
  </si>
  <si>
    <t>Feedback on the development of the Matrix: bilanz@ecogood.org (Matrix Development Team)</t>
  </si>
  <si>
    <t>Desarrollo de la matriz: bilanz@ecogood.org (Equipo de desarrollo de la matriz EBC)</t>
  </si>
  <si>
    <t>Excel-Programmierung: Christian Loy (christian.loy@gmx.at); Christian Kozina; Multilanguage-tool: Bernhard Oberrauch</t>
  </si>
  <si>
    <t>Programmazione Excel: Christian Loy (christian.loy@gmx.at); Christian Kozina; Multilanguage-tool: Bernhard Oberrauch (info@a-bo.net)</t>
  </si>
  <si>
    <t>Excel programming: Christian Loy (christian.loy@gmx.at); Christian Kozina; Multilanguage tool: Bernhard Oberrauch</t>
  </si>
  <si>
    <t>Programación en Excel: Christian Loy (christian.loy@gmx.at);Christian Kozina; Multilanguage-tool: Bernhard Oberrauch</t>
  </si>
  <si>
    <t>Inhalte: GWÖ-Matrix Entwicklungsteam</t>
  </si>
  <si>
    <t>Contents: ECG-Matrix Development Team</t>
  </si>
  <si>
    <t>Contenido: Equipo de desarrollo de la matriz EBC</t>
  </si>
  <si>
    <t>ANMERKUNGEN</t>
  </si>
  <si>
    <t>ANNOTAZIONI</t>
  </si>
  <si>
    <t>NOTES</t>
  </si>
  <si>
    <t>NOTAS ACLARATORIAS</t>
  </si>
  <si>
    <t>Alle Tabellen sind optimiert für den Ausdruck auf A4 (Hoch- oder Querformat).
Die Höhe der Zeilen ist veränderbar, falls Sie mehr Text eingeben wollen.</t>
  </si>
  <si>
    <t>Tutte le tabelle sono ottimizzate per la stampa in A4 (verticale o orizzontale).
L’Altezza delle celle è modificabile, nel caso Lei dovesse inserire più testo.</t>
  </si>
  <si>
    <t>All sheets are optimised for printing on A4 format (landscape or portrait).
The height of rows can be adjusted, if you enter more text</t>
  </si>
  <si>
    <t>Todas las hojas están editadas de tal manera que puedan imprimirse en un A4 (horizontal o vertical).
Si necesita más espacio para añadir más texto puede cambiar la altura de las filas.</t>
  </si>
  <si>
    <t>ALLGEMEINE ANGABEN ZUM UNTERNEHMEN</t>
  </si>
  <si>
    <t>Dati dell'impresa</t>
  </si>
  <si>
    <t>GENERAL INFORMATION ABOUT THE COMPANY</t>
  </si>
  <si>
    <t>INFORMACIÓN GENERAL SOBRE LA EMPRESA</t>
  </si>
  <si>
    <t>Bitte vollständig ausfüllen!</t>
  </si>
  <si>
    <t>Per favore compili completamente!</t>
  </si>
  <si>
    <t>Please complete all fields.</t>
  </si>
  <si>
    <t>Por favor introduzca todos los datos</t>
  </si>
  <si>
    <t>Name des Unternehmens:</t>
  </si>
  <si>
    <t>Nome dell'impresa:</t>
  </si>
  <si>
    <t>Name of Company / Organisation:</t>
  </si>
  <si>
    <t>Nombre de la empresa:</t>
  </si>
  <si>
    <t>Anschrift:</t>
  </si>
  <si>
    <t>Indirizzo:</t>
  </si>
  <si>
    <t>Address:</t>
  </si>
  <si>
    <t>Dirección:</t>
  </si>
  <si>
    <t>Staat:</t>
  </si>
  <si>
    <t>Stato:</t>
  </si>
  <si>
    <t>Country:</t>
  </si>
  <si>
    <t>Estado:</t>
  </si>
  <si>
    <t>Branche:</t>
  </si>
  <si>
    <t>Settore:</t>
  </si>
  <si>
    <t>Industry sector:</t>
  </si>
  <si>
    <t>Sector:</t>
  </si>
  <si>
    <t>Website:</t>
  </si>
  <si>
    <t>Sito web:</t>
  </si>
  <si>
    <t>Página web:</t>
  </si>
  <si>
    <t>Anzahl der MitarbeiterInnen:</t>
  </si>
  <si>
    <t>Presenza adetti</t>
  </si>
  <si>
    <t>Number of employees</t>
  </si>
  <si>
    <t>Número de trabajadores:</t>
  </si>
  <si>
    <t>Ein-Personen-Unternehmen:</t>
  </si>
  <si>
    <t>Impresa "di un collabpratore":</t>
  </si>
  <si>
    <t>Sole trader (ST) (or single-person)</t>
  </si>
  <si>
    <t>Empresas unipersonales:</t>
  </si>
  <si>
    <t>(Hinweis: Wenn ja, werden die für EPUs gültigen Werte automatisch in die Berechnung übernommen.)</t>
  </si>
  <si>
    <t>(Attenzione: se la risposta è si, I valori validi per l’impresa individuale vengono accettati automaticamente nel calcolo.)</t>
  </si>
  <si>
    <t>(Note: If yes, the values for STs will be filled in automatically for the calculation)</t>
  </si>
  <si>
    <t>(Nota: si introduce sí, entonces se aplican algunos valores automáticos en la ponderación)</t>
  </si>
  <si>
    <t>Bilanzjahr:</t>
  </si>
  <si>
    <t>bilancio anno:</t>
  </si>
  <si>
    <t>Balance year:</t>
  </si>
  <si>
    <t>Año del balance:</t>
  </si>
  <si>
    <t>ErstellerIn:</t>
  </si>
  <si>
    <t>Compilatore/trice:</t>
  </si>
  <si>
    <t>Document created by:</t>
  </si>
  <si>
    <t>Redactor del balance:</t>
  </si>
  <si>
    <t>E-Mail-Adresse:</t>
  </si>
  <si>
    <t>indirizzo mail:</t>
  </si>
  <si>
    <t>Email address:</t>
  </si>
  <si>
    <t>E-mail:</t>
  </si>
  <si>
    <t>Telefonnummer:</t>
  </si>
  <si>
    <t>numero di telefono:</t>
  </si>
  <si>
    <t>Phone number:</t>
  </si>
  <si>
    <t>Teléfono:</t>
  </si>
  <si>
    <t>BeraterIn:</t>
  </si>
  <si>
    <t>Consulente:</t>
  </si>
  <si>
    <t>Consultant:</t>
  </si>
  <si>
    <t>Consultor/a:</t>
  </si>
  <si>
    <t>E-mail address:</t>
  </si>
  <si>
    <t>Phone Number</t>
  </si>
  <si>
    <t>Kurzbeschreibung
des Unternehmens:</t>
  </si>
  <si>
    <t>Breve descrizione dell'impresa:</t>
  </si>
  <si>
    <t>Short description of Company / Organisation</t>
  </si>
  <si>
    <t>Breve descripción de la empresa:</t>
  </si>
  <si>
    <t>Sonstige Anmerkungen:</t>
  </si>
  <si>
    <t>Altre osservazioni:</t>
  </si>
  <si>
    <t>Additional comments:</t>
  </si>
  <si>
    <t>Otros comentarios:</t>
  </si>
  <si>
    <t>BERECHNUNG DER EINZELNEN THEMEN</t>
  </si>
  <si>
    <t>Calcolo dei singoli criteri</t>
  </si>
  <si>
    <t>CALCULATION OF INDIVIDUAL INDICATORS</t>
  </si>
  <si>
    <t>CÁLCULO DE CADA UNO DE LOS TEMAS</t>
  </si>
  <si>
    <t>Unternehmen</t>
  </si>
  <si>
    <t>Azienda</t>
  </si>
  <si>
    <t>Company / Organisation</t>
  </si>
  <si>
    <t>Empresa:</t>
  </si>
  <si>
    <t>Empresa</t>
  </si>
  <si>
    <t>Bilanz-Jahr</t>
  </si>
  <si>
    <t>Anno di riferimento</t>
  </si>
  <si>
    <t>Period under review</t>
  </si>
  <si>
    <r>
      <rPr>
        <sz val="11"/>
        <color indexed="8"/>
        <rFont val="Calibri"/>
        <family val="2"/>
      </rPr>
      <t xml:space="preserve">Ano </t>
    </r>
    <r>
      <rPr>
        <sz val="11"/>
        <color indexed="62"/>
        <rFont val="Calibri"/>
        <family val="2"/>
      </rPr>
      <t>do Balançao</t>
    </r>
  </si>
  <si>
    <t>BERECHNUNG DER EINZELNEN ASPEKTE</t>
  </si>
  <si>
    <t>Calcolo detagliato dei singoli aspetti</t>
  </si>
  <si>
    <t>CALCULATION OF INDIVIDUAL ASPECTS</t>
  </si>
  <si>
    <t>CÁLCULO DE CADA UNO DE LOS ASPECTOS</t>
  </si>
  <si>
    <t>CÁLCULO DETALHADO DOS ASPECTOS</t>
  </si>
  <si>
    <t>Gemeinwohl-Bilanz-Rechner</t>
  </si>
  <si>
    <t>Calcolatore del bilancio del Bene Comune</t>
  </si>
  <si>
    <t>Common Good Balance Calculator</t>
  </si>
  <si>
    <t>Calculadora del Bien Común</t>
  </si>
  <si>
    <t>Tabela de Cálculo do Balançao do Bem Comum</t>
  </si>
  <si>
    <t>BILANZSUMME:</t>
  </si>
  <si>
    <t>Somma Bilancio:</t>
  </si>
  <si>
    <t>Total Balance Score:</t>
  </si>
  <si>
    <t>Puntuación total:</t>
  </si>
  <si>
    <t>SOMA DO BALANÇO:</t>
  </si>
  <si>
    <t>Nr.</t>
  </si>
  <si>
    <t>N°</t>
  </si>
  <si>
    <t>No.</t>
  </si>
  <si>
    <t>N.º</t>
  </si>
  <si>
    <t>Berührungsgruppe</t>
  </si>
  <si>
    <t>Gruppo coinvolto</t>
  </si>
  <si>
    <t xml:space="preserve">Stakeholders </t>
  </si>
  <si>
    <t>Grupos de interés</t>
  </si>
  <si>
    <t>Berührungsgruppe/Themen/Aspekte</t>
  </si>
  <si>
    <t>Gruppo d'Interesse/Tema/Aspetto</t>
  </si>
  <si>
    <t>Stakeholders/Indicators/Criteria</t>
  </si>
  <si>
    <t>Grupo de interés / Tema / Aspecto</t>
  </si>
  <si>
    <t>Gewichtung</t>
  </si>
  <si>
    <t>Peso</t>
  </si>
  <si>
    <t>Weight</t>
  </si>
  <si>
    <t>Ponderación</t>
  </si>
  <si>
    <t>molto alto</t>
  </si>
  <si>
    <t>very high</t>
  </si>
  <si>
    <t>Muy alta</t>
  </si>
  <si>
    <t>alto</t>
  </si>
  <si>
    <t>high</t>
  </si>
  <si>
    <t>Alta</t>
  </si>
  <si>
    <t>medio</t>
  </si>
  <si>
    <t>medium</t>
  </si>
  <si>
    <t>Media</t>
  </si>
  <si>
    <t>basso</t>
  </si>
  <si>
    <t>low</t>
  </si>
  <si>
    <t>Baja</t>
  </si>
  <si>
    <t>non da considerare</t>
  </si>
  <si>
    <t>not applicable</t>
  </si>
  <si>
    <t>No aplica</t>
  </si>
  <si>
    <t>Erläuterung</t>
  </si>
  <si>
    <t>Descrizione</t>
  </si>
  <si>
    <t>Current status</t>
  </si>
  <si>
    <t>Estado actual</t>
  </si>
  <si>
    <t>Estado atual</t>
  </si>
  <si>
    <t>Verbesserungspotenzial</t>
  </si>
  <si>
    <t>Possibilità di miglioramento</t>
  </si>
  <si>
    <t>Potential for improvement</t>
  </si>
  <si>
    <t>Áreas de mejora</t>
  </si>
  <si>
    <t>Potencial de aperfeiçoamento</t>
  </si>
  <si>
    <t>Erfüll.</t>
  </si>
  <si>
    <t>Val%</t>
  </si>
  <si>
    <t>Est%</t>
  </si>
  <si>
    <t>Nivel</t>
  </si>
  <si>
    <t>Pkte</t>
  </si>
  <si>
    <t>Punti</t>
  </si>
  <si>
    <t>Points</t>
  </si>
  <si>
    <t>Punt.</t>
  </si>
  <si>
    <t>Max.</t>
  </si>
  <si>
    <t>Stakeholders/ tematiche/ aspetti</t>
  </si>
  <si>
    <t>Stakeholders/ Themes/ Aspects</t>
  </si>
  <si>
    <t>Grupo de interesse/Temas/Aspectos</t>
  </si>
  <si>
    <t>Lieferant*innen</t>
  </si>
  <si>
    <t>Fornitori</t>
  </si>
  <si>
    <t>Suppliers</t>
  </si>
  <si>
    <t>Proveedores</t>
  </si>
  <si>
    <t>FORNECEDOR*S</t>
  </si>
  <si>
    <t>Menschenwürde in der Zulieferkette</t>
  </si>
  <si>
    <t>La dignità umana lungo la catena di fornitura</t>
  </si>
  <si>
    <t>Human dignity in the supply chain</t>
  </si>
  <si>
    <t>Dignidad humana en la cadena de suministro</t>
  </si>
  <si>
    <t>Dignidade humana na cadeia de suprimentos</t>
  </si>
  <si>
    <t>Arbeitsbedingungen und gesellschaftliche Auswirkungen in der Zulieferkette</t>
  </si>
  <si>
    <t>Condizioni di lavoro e conseguenze sociali nella catena di fornitura</t>
  </si>
  <si>
    <t>Working conditions and social impact in the supply chain</t>
  </si>
  <si>
    <t>Condiciones de trabajo e impacto social en la cadena de suministro</t>
  </si>
  <si>
    <t xml:space="preserve">Condições de trabalho e impactos sociais na cadeia de suprimentos </t>
  </si>
  <si>
    <t>Negativ-Aspekt: Verletzung der Menschenwürde in der Zulieferkette</t>
  </si>
  <si>
    <t>Aspetto negativo: Violazione della dignità umana nella catena di fornitura</t>
  </si>
  <si>
    <t>Negative aspect: violation of human dignity in the supply chain</t>
  </si>
  <si>
    <t>Aspecto negativo: vulneración de la dignidad humana en la cadena de suministro</t>
  </si>
  <si>
    <t>Aspecto negativo: Violação da dignidade humana na cadeia de suprimentos</t>
  </si>
  <si>
    <t>Solidarität und Gerechtigkeit in der Zulieferkette</t>
  </si>
  <si>
    <t>Solidarietà e giustizia nella catena di fornitura</t>
  </si>
  <si>
    <t>Solidarity and social justice in the supply chain</t>
  </si>
  <si>
    <t>Justicia y solidaridad en la cadena de suministro</t>
  </si>
  <si>
    <t>Solidariedade e justiça na cadeia de suprimentos</t>
  </si>
  <si>
    <t>Faire Geschäftsbeziehungen zu direkten Lieferant*innen</t>
  </si>
  <si>
    <t>Relazioni commerciali eque nei confronti dei fornitori diretti</t>
  </si>
  <si>
    <t>Fair business practices towards direct suppliers</t>
  </si>
  <si>
    <t>Actitud ética con proveedores directos</t>
  </si>
  <si>
    <t xml:space="preserve">Relações comerciais justas com fornecedor*s diretos </t>
  </si>
  <si>
    <t>Positive Einflussnahme auf Solidarität und Gerechtigkeit in der gesamten Zulieferkette</t>
  </si>
  <si>
    <t>Influssi positivi sulla solidarietà e la giustizia lungo l'intera catena di fornitura</t>
  </si>
  <si>
    <t>Exercising a positive influence on solidarity and social justice in the supply chain</t>
  </si>
  <si>
    <t>Promoción de la justicia y la solidaridad en toda la cadena de suministro</t>
  </si>
  <si>
    <t>Influência positiva relativamente a solidariedade e justiça ao longo de toda a cadeia de suprimentos</t>
  </si>
  <si>
    <t>Negativ-Aspekt: Ausnutzung der Marktmacht gegenüber Lieferant*innen</t>
  </si>
  <si>
    <t>Aspetto negativo: Sfruttamento del potere di mercato nei confronti dei fornitori</t>
  </si>
  <si>
    <t>Negative aspect: abuse of market power against suppliers</t>
  </si>
  <si>
    <t>Aspecto negativo: abuso de poder de mercado frente a proveedores</t>
  </si>
  <si>
    <t>Aspecto negativo: Abuso do poder de mercado face a fornecedor*s</t>
  </si>
  <si>
    <t>Ökologische Nachhaltigkeit in der Zulieferkette</t>
  </si>
  <si>
    <t>Sostenibilità ecologica nella catena di fornitura</t>
  </si>
  <si>
    <t>Environmental sustainability in the supply chain</t>
  </si>
  <si>
    <t>Sostenibilidad medioambiental en la cadena de suministro</t>
  </si>
  <si>
    <t>Sustentabilidade ambiental na cadeia de suprimentos</t>
  </si>
  <si>
    <t>Umweltauswirkungen in der Zulieferkette</t>
  </si>
  <si>
    <t>Conseguenze ambientali lungo la catena di fornitura</t>
  </si>
  <si>
    <t>Environmental impact throughout the supply chain</t>
  </si>
  <si>
    <t>Impacto medioambiental en la cadena de suministro</t>
  </si>
  <si>
    <t>Impacto ambiental na cadeia de suprimentos</t>
  </si>
  <si>
    <t>Negativ-Aspekt:Unverhältnismäßig hohe Umweltauswirkungen in der Zulieferkette</t>
  </si>
  <si>
    <t>Aspetto negativo: Conseguenze ambientali sproporzionatamente elevate lungo la catena di fornitura</t>
  </si>
  <si>
    <t>Negative aspect: disproportionate environmental impact throughout the supply chain</t>
  </si>
  <si>
    <t>Aspecto negativo: impacto medioambiental desproporcionado en la cadena de suministro</t>
  </si>
  <si>
    <t>Aspecto negativo: Impactos ambientais proporcionalmente altos na cadeia de suprimentos</t>
  </si>
  <si>
    <t>Transparenz und Mitentscheidung in der Zulieferkette</t>
  </si>
  <si>
    <t>Trasparenza e condivisione delle decisioni lungo la catena di fornitura</t>
  </si>
  <si>
    <t>Transparency &amp; co-determination in the supply chain</t>
  </si>
  <si>
    <t>Transparencia y participación democrática en la cadena de suministro</t>
  </si>
  <si>
    <t>Transparência e co-decisão na cadeia de suprimentos</t>
  </si>
  <si>
    <t>Transparenz und Mitentscheidungsrechte für Lieferant*innen</t>
  </si>
  <si>
    <t>Trasparenza e diritti di condivisione delle decisioni per i fornitori</t>
  </si>
  <si>
    <t>Transparency towards suppliers and their right to co-determination</t>
  </si>
  <si>
    <t>Transparencia y participación democrática de los proveedores</t>
  </si>
  <si>
    <t>Transparência e direitos de co-decisão para fornecedor*s</t>
  </si>
  <si>
    <t>Positive Einflussnahme auf Transparenz und Mitentscheidung in der gesamten Zulieferkette</t>
  </si>
  <si>
    <t>Influssi positivi sulla trasparenza e la condivisione delle decisioni lungo l'intera catena di fornitura</t>
  </si>
  <si>
    <t>Positive influence on transparency and co-determination throughout the supply chain</t>
  </si>
  <si>
    <t>Promoción de la transparencia y participación democrática en toda la cadena de suministro</t>
  </si>
  <si>
    <t>Influência positiva relativamente a transparência e co-decisão ao longo de toda a cadeia de suprimentos</t>
  </si>
  <si>
    <t>Eigentümer*innen und Finanzpartner*innen</t>
  </si>
  <si>
    <t>Proprietari &amp; partner finanziari</t>
  </si>
  <si>
    <t>Owners, equity- and financial service providers</t>
  </si>
  <si>
    <t>Propietarios y proveedores financieros</t>
  </si>
  <si>
    <t>PROPRIETÁRI*S &amp; PARCEIR*S DE NEGÓCIO</t>
  </si>
  <si>
    <t>Ethische Haltung im Umgang mit Geldmitteln</t>
  </si>
  <si>
    <t>Atteggiamento etico nell'impiego di fondi</t>
  </si>
  <si>
    <t>Ethical position in relation to financial resources</t>
  </si>
  <si>
    <t>Actitud ética en la gestión de recursos financieros</t>
  </si>
  <si>
    <t xml:space="preserve">Atitude ética na gestão de recursos financeiros </t>
  </si>
  <si>
    <t>Finanzielle Unabhängigkeit durch Eigenfinanzierung</t>
  </si>
  <si>
    <t>Autonomia finanziaria grazie all'autofinanziamento</t>
  </si>
  <si>
    <t>Financial independence through equity financing</t>
  </si>
  <si>
    <t>Independencia financiera: autofinanciación</t>
  </si>
  <si>
    <t>Independência financeira por meio de autofinanciamento</t>
  </si>
  <si>
    <t>Gemeinwohlorientierte Fremdfinanzierung</t>
  </si>
  <si>
    <t>Finanziamento esterno orientato al bene comune</t>
  </si>
  <si>
    <t>Common Good-orientated borrowing</t>
  </si>
  <si>
    <t>Financiación externa orientada al Bien Común</t>
  </si>
  <si>
    <t>Financiamento externo por meio de instituições orientadas ao Bem Comum</t>
  </si>
  <si>
    <t>Ethische Haltung externer Finanzpartner*innen</t>
  </si>
  <si>
    <t>L'approccio etico di finanziatori esterni</t>
  </si>
  <si>
    <t>Ethical position of external financial partners</t>
  </si>
  <si>
    <t>Actitud ética de los proveedores financieros</t>
  </si>
  <si>
    <t xml:space="preserve">Atitude ética de parceir*s financeir*s extern*s </t>
  </si>
  <si>
    <t>Soziale Haltung im Umgang mit Geldmitteln</t>
  </si>
  <si>
    <t>Atteggiamento sociale nell'impiego di fondi</t>
  </si>
  <si>
    <t>Social position in relation to financial resources</t>
  </si>
  <si>
    <t>Actitud solidaria en la gestión de recursos financieros</t>
  </si>
  <si>
    <t xml:space="preserve">Atitude social na gestão de recursos financeiros </t>
  </si>
  <si>
    <t>Solidarische und gemeinwohlorientierte Mittelverwendung</t>
  </si>
  <si>
    <t>Impiego dei fondi solidale e orientato al bene comune</t>
  </si>
  <si>
    <t>Solidarity and Common Good-orientated use of funds</t>
  </si>
  <si>
    <t>Gestión de los recursos financieros de forma solidaria y orientada al Bien Común</t>
  </si>
  <si>
    <t xml:space="preserve">Alocação de recursos de forma solidária e orientada ao Bem Comum </t>
  </si>
  <si>
    <t>Negativ-Aspekt: Unfaire Verteilung von Geldmittel</t>
  </si>
  <si>
    <t>Aspetto negativo: Distribuzione iniqua di fondi</t>
  </si>
  <si>
    <t>Negative aspect: unfair distribution of funds</t>
  </si>
  <si>
    <t>Aspecto negativo: repartición injusta de los recursos financieros</t>
  </si>
  <si>
    <t xml:space="preserve">Aspecto negativo: Distribuição injusta de recursos financeiros </t>
  </si>
  <si>
    <t>Sozial-ökologische Investitionen und Mittelverwendung</t>
  </si>
  <si>
    <t>Investimenti socio-ecologici e impiego dei fondi</t>
  </si>
  <si>
    <t>Use of funds in relation to social and environmental impacts</t>
  </si>
  <si>
    <t>Inversiones financieras sostenibles y uso de los recursos financieros</t>
  </si>
  <si>
    <t xml:space="preserve">Investimentos e alocação de recursos com base em critérios sócio-ambientais </t>
  </si>
  <si>
    <t>Ökologische Qualität der Investitionen</t>
  </si>
  <si>
    <t>Qualità ecologica degli investimenti</t>
  </si>
  <si>
    <t>Environmental quality of investments</t>
  </si>
  <si>
    <t>Carácter ambiental de los recursos financieros</t>
  </si>
  <si>
    <t xml:space="preserve">Qualidade ambiental dos investimentos </t>
  </si>
  <si>
    <t>Gemeinwohlorientierte Veranlagung</t>
  </si>
  <si>
    <t>Investimento orientato al bene comune</t>
  </si>
  <si>
    <t>Common Good-orientated investment</t>
  </si>
  <si>
    <t>Inversiones orientadas al Bien Común</t>
  </si>
  <si>
    <t xml:space="preserve">Base fiscal/tributação orientada ao Bem Comum </t>
  </si>
  <si>
    <t>Negativ-Aspekt: Abhängigkeit von ökologisch bedenklichen Ressourcen</t>
  </si>
  <si>
    <t>Aspetto negativo: Dipendenza da risorse a rischio in termini ecologici</t>
  </si>
  <si>
    <t>Negative aspect: reliance on environmentally unsafe resources</t>
  </si>
  <si>
    <t>Aspecto negativo: dependencia de recursos perjudiciales para el medio ambiente</t>
  </si>
  <si>
    <t xml:space="preserve">Aspecto negativo: Dependência de recursos ambientalmente questionáveis </t>
  </si>
  <si>
    <t>Eigentum und Mitentscheidung</t>
  </si>
  <si>
    <t>Proprietà e condivisione delle decisioni</t>
  </si>
  <si>
    <t>Ownership and co-determination</t>
  </si>
  <si>
    <t>Propiedad y participación democrática</t>
  </si>
  <si>
    <t>Propriedade e co-decisão</t>
  </si>
  <si>
    <t>Gemeinwohlorientierte Eigentumsstruktur</t>
  </si>
  <si>
    <t>Struttura di proprietà orientata al bene comune</t>
  </si>
  <si>
    <t>Common Good-orientated ownership structure</t>
  </si>
  <si>
    <t>Distribución de la propiedad orientada al Bien Común</t>
  </si>
  <si>
    <t>Estrutura de propriedade orientada ao Bem Comum</t>
  </si>
  <si>
    <t>Negativ-Aspekt: Feindliche Übernahme</t>
  </si>
  <si>
    <t>Aspetto negativo: Scalata ostile</t>
  </si>
  <si>
    <t>Negative aspect: hostile takeover</t>
  </si>
  <si>
    <t>Aspecto negativo: oferta pública de adquisición (OPA) hostil</t>
  </si>
  <si>
    <t>Aspecto negativo: Aquisição hostil</t>
  </si>
  <si>
    <t>Mitarbeitende</t>
  </si>
  <si>
    <t>Collaboratori</t>
  </si>
  <si>
    <t>Employees</t>
  </si>
  <si>
    <t>Trabajadores</t>
  </si>
  <si>
    <t xml:space="preserve">COLABORADOR*S </t>
  </si>
  <si>
    <t>Menschenwürde am Arbeitsplatz</t>
  </si>
  <si>
    <t>La dignità umana sul posto di lavoro</t>
  </si>
  <si>
    <t>Human dignity in the workplace and working environment</t>
  </si>
  <si>
    <t>Dignidad humana en el puesto de trabajo</t>
  </si>
  <si>
    <t>Dignidade humana no local de trabalho</t>
  </si>
  <si>
    <t>Mitarbeiterorientierte Unternehmenskultur</t>
  </si>
  <si>
    <t>Cultura aziendale orientata ai collaboratori</t>
  </si>
  <si>
    <t>Employee-focused organisational culture</t>
  </si>
  <si>
    <t>Cultura empresarial orientada a las personas</t>
  </si>
  <si>
    <t>Cultura corporativa orientada aos/às colaborador*s</t>
  </si>
  <si>
    <t>Gesundheitsförderung und Arbeitsschutz</t>
  </si>
  <si>
    <t xml:space="preserve">Promozione della salute e protezione sul posto di lavoro </t>
  </si>
  <si>
    <t>Health promotion and occupational health and safety</t>
  </si>
  <si>
    <t>Promoción de la salud y seguridad en el trabajo</t>
  </si>
  <si>
    <t>Promoção da saúde e da segurança ocupacional</t>
  </si>
  <si>
    <t>Diversität und Chancengleichheit</t>
  </si>
  <si>
    <t>Diversità e pari opportunità</t>
  </si>
  <si>
    <t>Diversity and equal opportunities</t>
  </si>
  <si>
    <t>Diversidad e igualdad de oportunidades</t>
  </si>
  <si>
    <t>Diversidade e igualdade de oportunidades</t>
  </si>
  <si>
    <t>Negativ-Aspekt: Menschenunwürdige Arbeitsbedingungen</t>
  </si>
  <si>
    <t>Aspetto negativo: Condizioni di lavoro disumane</t>
  </si>
  <si>
    <t>Negative aspect: unfit working conditions</t>
  </si>
  <si>
    <t>Aspecto negativo: condiciones de trabajo indignas</t>
  </si>
  <si>
    <t xml:space="preserve">Aspecto negativo: Condições de trabalho que ferem a dignidade humana </t>
  </si>
  <si>
    <t>Ausgestaltung der Arbeitsverträge</t>
  </si>
  <si>
    <t>Self-determined working arrangements</t>
  </si>
  <si>
    <t>Formalidad de los contratos de trabajo</t>
  </si>
  <si>
    <t>Configuração dos contratos de trabalho</t>
  </si>
  <si>
    <t>Ausgestaltung des Verdienstes</t>
  </si>
  <si>
    <t>Strutturazione del guadagno</t>
  </si>
  <si>
    <t>Pay structure</t>
  </si>
  <si>
    <t>Formalidad y estructura salarial</t>
  </si>
  <si>
    <t xml:space="preserve">Configuração da remuneração </t>
  </si>
  <si>
    <t>Ausgestaltung der Arbeitszeit</t>
  </si>
  <si>
    <t>Organizzazione dell'orario di lavoro</t>
  </si>
  <si>
    <t>Structuring working time</t>
  </si>
  <si>
    <t>Formalidad en el horario laboral</t>
  </si>
  <si>
    <t>Configuração do horário de trabalho</t>
  </si>
  <si>
    <t>Ausgestaltung des Arbeitsverhältnisses und Work-Life-Balance</t>
  </si>
  <si>
    <t>Organizzazione del rapporto di lavoro e Work-Life-Balance</t>
  </si>
  <si>
    <t>Employment structure and work-life balance</t>
  </si>
  <si>
    <t>Formalidad en las condiciones de trabajo y en la conciliación</t>
  </si>
  <si>
    <t>Configuração das condições de trabalho, equilíbrio entre vida profissional e familiar</t>
  </si>
  <si>
    <t>Negativ-Aspekt: Ungerechte Ausgestaltung der Arbeitsverträge</t>
  </si>
  <si>
    <t>Aspetto negativo: Strutturazione ingiusta dei contratti di lavoro</t>
  </si>
  <si>
    <t>Negative aspect: unfair employment contracts</t>
  </si>
  <si>
    <t>Aspecto negativo: contratos de trabajo injustos</t>
  </si>
  <si>
    <t xml:space="preserve">Aspecto negativo: Configuração injusta dos contratos de trabalho </t>
  </si>
  <si>
    <t>Förderung des ökologischen Verhaltens der Mitarbeitenden</t>
  </si>
  <si>
    <t>Promozione del comportamento ecologico dei collaboratori</t>
  </si>
  <si>
    <t>Environmentally-friendly behaviour of staff</t>
  </si>
  <si>
    <t>Promoción de la responsabilidad medioambiental de los trabajadores</t>
  </si>
  <si>
    <t>Promoção de condutas sustentáveis entre colaborador*s</t>
  </si>
  <si>
    <t>Ernährung während der Arbeitszeit</t>
  </si>
  <si>
    <t>L'alimentazione durante l'orario di lavoro</t>
  </si>
  <si>
    <t>Food during working hours</t>
  </si>
  <si>
    <t>Alimentación durante la jornada laboral</t>
  </si>
  <si>
    <t xml:space="preserve">Alimentação durante o horário de trabalho </t>
  </si>
  <si>
    <t>Mobilität zum Arbeitsplatz</t>
  </si>
  <si>
    <t>Mobilità sul posto di lavoro</t>
  </si>
  <si>
    <t>Travel to work</t>
  </si>
  <si>
    <t>Movilidad sostenible al puesto de trabajo</t>
  </si>
  <si>
    <t>Mobilidade para o local de trabalho</t>
  </si>
  <si>
    <t>Organisationskultur, Sensibilisierung und unternehmensinterne Prozesse</t>
  </si>
  <si>
    <t>Cultura organizzativa, sensibilizzazione all'organizzazione ecologica dei processi</t>
  </si>
  <si>
    <t>Organisational culture, cultivating awareness for an environmentally-friendly approach</t>
  </si>
  <si>
    <t>Cultura empresarial sostenible y sensibilización con el medio ambiente</t>
  </si>
  <si>
    <t xml:space="preserve">Cultura organizacional, sensibilização e processos internos da empresa </t>
  </si>
  <si>
    <t>Negativ-Aspekt: Anleitung zur Verschwendung / Duldung unökologischen Verhaltens</t>
  </si>
  <si>
    <t>Aspetto negativo: Guida allo spreco / Tolleranza di comportamenti non ecologici</t>
  </si>
  <si>
    <t>Negative aspect: guidance on waste/ environmentally damaging practices</t>
  </si>
  <si>
    <t>Aspecto negativo: promoción y tolerancia frente a la actitud medioambiental no responsable</t>
  </si>
  <si>
    <t xml:space="preserve">Aspecto negativo: Orientação ao desperdício / tolerância de condutas ecologicamente nocivas </t>
  </si>
  <si>
    <t>Condivisione delle decisioni e trasparenza in azienda</t>
  </si>
  <si>
    <t>Co-determination and transparency within the organisation</t>
  </si>
  <si>
    <t>Transparencia y participación democrática interna</t>
  </si>
  <si>
    <t>Co-decisão e transparência no âmbito da empresa</t>
  </si>
  <si>
    <t>Innerbetriebliche Transparenz</t>
  </si>
  <si>
    <t>Trasparenza in azienda</t>
  </si>
  <si>
    <t>Transparency within the organisation</t>
  </si>
  <si>
    <t>Transparencia interna</t>
  </si>
  <si>
    <t>Transparência interna</t>
  </si>
  <si>
    <t>Legitimierung der Führungskräfte</t>
  </si>
  <si>
    <t>Legittimazione dei dirigenti</t>
  </si>
  <si>
    <t>Legitimation of the management</t>
  </si>
  <si>
    <t>Legitimación de la dirección</t>
  </si>
  <si>
    <t>Legitimação dos líderes</t>
  </si>
  <si>
    <t>Mitentscheidung der Mitarbeitenden</t>
  </si>
  <si>
    <t>Condivisione delle decisioni da parte dei collaboratori</t>
  </si>
  <si>
    <t>Employee co-determination</t>
  </si>
  <si>
    <t>Participación de los trabajadores en la toma de decisiones</t>
  </si>
  <si>
    <t xml:space="preserve">Co-decisão por parte d*s colaborador*s </t>
  </si>
  <si>
    <t>Negativ-Aspekt C4.4: Verhinderung des Betriebsrates</t>
  </si>
  <si>
    <t>Aspetto negativo: Impedimento del consiglio aziendale</t>
  </si>
  <si>
    <t>Negative aspect: obstruction of works councils</t>
  </si>
  <si>
    <t>Aspecto negativo: Impedimiento del comité de empresa</t>
  </si>
  <si>
    <t>Aspecto negativo: Impedimento da formação de Comités de Empresa</t>
  </si>
  <si>
    <t>Kund*nnen und Mitunternehmen</t>
  </si>
  <si>
    <t>Clienti &amp; concorrenti</t>
  </si>
  <si>
    <t>Customers and other companies</t>
  </si>
  <si>
    <t>Clientes y otras empresas</t>
  </si>
  <si>
    <t xml:space="preserve">CLIENTES &amp; PARCEIR*S DE NEGÓCIO </t>
  </si>
  <si>
    <t>Ethische Kund*innenbeziehungen</t>
  </si>
  <si>
    <t>Relazioni etiche con la clientela</t>
  </si>
  <si>
    <t>Ethical customer relations</t>
  </si>
  <si>
    <t>Actitud ética con los clientes</t>
  </si>
  <si>
    <t>con la clientela</t>
  </si>
  <si>
    <t>Relações éticas com clientes</t>
  </si>
  <si>
    <t>Menschenwürdige Kommunikation mit Kund*innen</t>
  </si>
  <si>
    <t>Comunicazione dignitosa con i clienti</t>
  </si>
  <si>
    <t>Respect for human dignity in communication with customers</t>
  </si>
  <si>
    <t>Comunicación transparente con los clientes</t>
  </si>
  <si>
    <t>Comunicação com clientes de forma digna</t>
  </si>
  <si>
    <t>Barrierefreiheit</t>
  </si>
  <si>
    <t>Assenza di barriere</t>
  </si>
  <si>
    <t>Barrier-free access</t>
  </si>
  <si>
    <t>Accesibilidad</t>
  </si>
  <si>
    <t xml:space="preserve">Acessibilidade </t>
  </si>
  <si>
    <t>Negativ-Aspekt: Unethische Werbemaßnahmen</t>
  </si>
  <si>
    <t>Aspetto negativo: Misure pubblicitarie non etiche</t>
  </si>
  <si>
    <t>Negative aspect: unethical advertising</t>
  </si>
  <si>
    <t>Aspecto negativo: publicidad engañosa y acciones comerciales no éticas</t>
  </si>
  <si>
    <t xml:space="preserve">Aspecto negativo: Atividades promocionais antiéticas </t>
  </si>
  <si>
    <t>Kooperation und Solidarität mit Mitunternehmen</t>
  </si>
  <si>
    <t>Cooperazione e solidarietà con i concorrenti</t>
  </si>
  <si>
    <t>Cooperation and solidarity with other companies</t>
  </si>
  <si>
    <t>Cooperación y solidaridad con otras empresas del sector</t>
  </si>
  <si>
    <t>Cooperação e solidariedade com parceir*s de negócio</t>
  </si>
  <si>
    <t>Kooperation mit Mitunternehmen</t>
  </si>
  <si>
    <t>Cooperazione con i concorrenti</t>
  </si>
  <si>
    <t>Cooperation with other companies</t>
  </si>
  <si>
    <t>Cooperación con otras empresas</t>
  </si>
  <si>
    <t>Cooperação com parceir*s de negócio</t>
  </si>
  <si>
    <t>Solidarität mit Mitunternehmen</t>
  </si>
  <si>
    <t>La solidarietà con i concorrenti</t>
  </si>
  <si>
    <t>Solidarity with other companies</t>
  </si>
  <si>
    <t>Solidaridad con otras empresas</t>
  </si>
  <si>
    <t>Solidariedade com parceir*s de negócio</t>
  </si>
  <si>
    <t>Negativ-Aspekt D2.3: Missbrauch der Marktmacht gegenüber Mitunternehmen</t>
  </si>
  <si>
    <t>Aspetto negativo: Abuso del potere di mercato nei confronti dei concorrenti</t>
  </si>
  <si>
    <t>Negative aspect: abuse of market power to the detriment of other companies</t>
  </si>
  <si>
    <t>Aspecto negativo: abuso de poder de mercado frente a otras empresas</t>
  </si>
  <si>
    <t>Aspecto negativo: Abuso do poder de mercado face a parceir*s de negócio</t>
  </si>
  <si>
    <t>Ökologische Auswirkung durch Nutzung und Entsorgung von Produkten und Dienstleistungen</t>
  </si>
  <si>
    <t>Conseguenze ecologiche dell'utilizzo e dello smaltimento di prodotti e servizi</t>
  </si>
  <si>
    <t>Impact on the environment of the use and disposal of products and services</t>
  </si>
  <si>
    <t>Impacto medioambiental del uso y de la gestión de residuos de los productos y servicios</t>
  </si>
  <si>
    <t>Impacto ambiental do uso e do descarte de produtos e serviços</t>
  </si>
  <si>
    <t>Ökologisches Kosten-Nutzen-Verhältnis von Produkten und Dienstleistungen (Effizienz und Konsistenz)</t>
  </si>
  <si>
    <t>Rapporto ecologico costi/ benefici di prodotti e servizi (efficienza e consistenza)</t>
  </si>
  <si>
    <t xml:space="preserve">Environmental cost-benefit ration of products and services (efficiency and consistency) </t>
  </si>
  <si>
    <t>Relación coste-beneficio medioambiental de productos y ervicios (eficiencia y consistencia)</t>
  </si>
  <si>
    <t>Relação custo-benefício em termos ambientais de produtos e serviços (eficiência e consistência)</t>
  </si>
  <si>
    <t>Maßvolle Nutzung von Produkten und Dienstleistungen (Suffizienz)</t>
  </si>
  <si>
    <t>Utilizzo moderato di prodotti e servizi (sufficienza)</t>
  </si>
  <si>
    <t>Moderate use of products and services (sufficiency)</t>
  </si>
  <si>
    <t>Uso moderado de productos y servicios (suficiencia)</t>
  </si>
  <si>
    <t>Utilização moderada de produtos e serviços (suficiência)</t>
  </si>
  <si>
    <t>Negativ-Aspekt: Bewusste Inkaufnahme unverhältnismäßiger, ökologischer Auswirkungen</t>
  </si>
  <si>
    <t>Aspetto negativo: Accettazione consapevole di conseguenze ecologiche spropositate</t>
  </si>
  <si>
    <t>Negative aspect: wilful disregard of disproportionate environmental impacts</t>
  </si>
  <si>
    <t>Aspecto negativo: tolerancia frente al impacto medioambiental desproporcionado y consciente</t>
  </si>
  <si>
    <t xml:space="preserve">Aspecto negativo: Tolerância consciente de impactos ambientais excessivos </t>
  </si>
  <si>
    <t>Kund*innen-Mitwirkung und Produkttransparenz</t>
  </si>
  <si>
    <t>Partecipazione dei clienti e trasparenza dei prodotti</t>
  </si>
  <si>
    <t>Customer participation and product transparency</t>
  </si>
  <si>
    <t>Participación de los clientes y transparencia de producto</t>
  </si>
  <si>
    <t>Envolvimento de clientes e transparência de produtos</t>
  </si>
  <si>
    <t>Kund*innen-Mitwirkung, gemeinsame Produktentwicklung und Marktforschung</t>
  </si>
  <si>
    <t>Partecipazione dei clienti, sviluppo comune dei prodotti e ricerca di mercato</t>
  </si>
  <si>
    <t>Customer participation, joint product development and market research</t>
  </si>
  <si>
    <t>Participación de los clientes en la toma de decisiones, desarrollo de producto e investigación de mercado</t>
  </si>
  <si>
    <t>Envolvimento de clientes, desenvolvimento de produtos e pesquisa de mercado em parceria</t>
  </si>
  <si>
    <t>Produkttransparenz</t>
  </si>
  <si>
    <t>Trasparenza dei prodotti</t>
  </si>
  <si>
    <t>Product transparency</t>
  </si>
  <si>
    <t>Transparencia de producto</t>
  </si>
  <si>
    <t>Transparência de produtos</t>
  </si>
  <si>
    <t>Negativ-Aspekt: Kein Ausweis von Gefahrenstoffen</t>
  </si>
  <si>
    <t>Aspetto negativo: Mancata indicazione di sostanze pericolose</t>
  </si>
  <si>
    <t>Negative aspect: non-disclosure of hazardous substances</t>
  </si>
  <si>
    <t>Aspecto negativo: no declaración sobre sustancias/mercancías peligrosas</t>
  </si>
  <si>
    <t>Aspecto negativo: Não-declaração de substâncias perigosas</t>
  </si>
  <si>
    <t>Gesellschaftliches Umfeld</t>
  </si>
  <si>
    <t>Contesto sociale</t>
  </si>
  <si>
    <t>Social environment</t>
  </si>
  <si>
    <t>Entorno social</t>
  </si>
  <si>
    <t xml:space="preserve">MEIO SOCIAL </t>
  </si>
  <si>
    <t>Sinn und gesellschaftliche Wirkung der Produkte und Dienstleistungen</t>
  </si>
  <si>
    <t>Senso e impatto dei prodotti e servizi sulla società</t>
  </si>
  <si>
    <t>Purpose of products and services and their effects on society</t>
  </si>
  <si>
    <t>Propósito e impacto positivo de los productos y servicios</t>
  </si>
  <si>
    <t>Sentido e impacto social dos produtos e serviços</t>
  </si>
  <si>
    <t>Produkte und Dienstleistungen decken den Grundbedarf und dienen dem guten Leben</t>
  </si>
  <si>
    <t>Prodotti e servizi coprono il fabbisogno di base e sono utili a una buona vita</t>
  </si>
  <si>
    <t>Products and services should cover basic needs and contribute to a good life</t>
  </si>
  <si>
    <t>Productos y servicios que cubren las necesidades básicas y mejoran la calidad de vida</t>
  </si>
  <si>
    <t>Produtos e serviços respondem às necessidades básicas e fomentam o bem-estar</t>
  </si>
  <si>
    <t>Gesellschaftliche Wirkung der Produkte und Dienstleistungen</t>
  </si>
  <si>
    <t>Impatto dei prodotti e servizi sulla società</t>
  </si>
  <si>
    <t>Social impact of products and services</t>
  </si>
  <si>
    <t>Impacto social de los productos y servicios</t>
  </si>
  <si>
    <t>Impacto social dos produtos e serviços</t>
  </si>
  <si>
    <t>Negativ-Aspekt: Menschenunwürdige Produkte und Dienstleistungen</t>
  </si>
  <si>
    <t>Aspetto negativo: Prodotti e servizi disumani</t>
  </si>
  <si>
    <t>Negative aspect: unethical and unfit products and services</t>
  </si>
  <si>
    <t>Aspecto negativo: productos y servicios que vulneran la dignidad humana</t>
  </si>
  <si>
    <t xml:space="preserve">Aspecto negativo: Produtos e serviços que ferem a dignidade humana </t>
  </si>
  <si>
    <t>Beitrag zum Gemeinwesen</t>
  </si>
  <si>
    <t>Contributo per la collettività</t>
  </si>
  <si>
    <t>Contribution to the community</t>
  </si>
  <si>
    <t>Contribución a la comunidad</t>
  </si>
  <si>
    <t>Contribuição para a comunidade</t>
  </si>
  <si>
    <t>Steuern und Sozialabgaben</t>
  </si>
  <si>
    <t>Imposte e oneri sociali</t>
  </si>
  <si>
    <t>Taxes and social security contributions</t>
  </si>
  <si>
    <t>Impuestos y prestaciones sociales</t>
  </si>
  <si>
    <t xml:space="preserve">Impostos e encargos sociais </t>
  </si>
  <si>
    <t>Freiwillige Beiträge zur Stärkung des Gemeinwesens</t>
  </si>
  <si>
    <t>Contributi volontari per rafforzare la collettività</t>
  </si>
  <si>
    <t>Voluntary contributions that strengthen society</t>
  </si>
  <si>
    <t>Contribución voluntaria a la comunidad</t>
  </si>
  <si>
    <t>Contribuição voluntária para o fortalecimento da comunidade</t>
  </si>
  <si>
    <t>Negativ-Aspekt: Illegitime Steuervermeidung</t>
  </si>
  <si>
    <t>Aspetto negativo: Evasione fiscale illecita</t>
  </si>
  <si>
    <t>Negative aspect: inappropriate non-payment of tax</t>
  </si>
  <si>
    <t>Aspecto negativo: elusión y evasión fiscal</t>
  </si>
  <si>
    <t xml:space="preserve">Aspecto negativo: Evasão fiscal </t>
  </si>
  <si>
    <t>Negativ-Aspekt: Mangelnde Korruptionsprävention</t>
  </si>
  <si>
    <t>Aspetto negativo: Mancata prevenzione della corruzione</t>
  </si>
  <si>
    <t>Negative aspect: no anti-corruption policy</t>
  </si>
  <si>
    <t>Aspecto negativo: falta de prevención frente a la corrupción</t>
  </si>
  <si>
    <t>Aspecto negativo: Medidas insufucientes de prevenção da corrupção</t>
  </si>
  <si>
    <t>Reduktion ökologischer Auswirkungen</t>
  </si>
  <si>
    <t>Riduzione delle conseguenze ecologiche</t>
  </si>
  <si>
    <t>Reduction of environmental impact</t>
  </si>
  <si>
    <t>Reducción del impacto medioambiental</t>
  </si>
  <si>
    <t xml:space="preserve">Redução de impactos ambientais </t>
  </si>
  <si>
    <t>Absolute Auswirkungen / Management &amp; Strategie</t>
  </si>
  <si>
    <t>Conseguenze assolute / Management &amp; strategia</t>
  </si>
  <si>
    <t>Absolute impact and management strategy</t>
  </si>
  <si>
    <t>Impacto medioambiental / Gestión y estrategia</t>
  </si>
  <si>
    <t>Impactos absolutos / Gestão &amp; Estratégia</t>
  </si>
  <si>
    <t>Relative Auswirkungen</t>
  </si>
  <si>
    <t>Conseguenze relative</t>
  </si>
  <si>
    <t>Relative impact</t>
  </si>
  <si>
    <t>Impacto relativo</t>
  </si>
  <si>
    <t>Impactos relativos</t>
  </si>
  <si>
    <t>Negativ-Aspekt: Verstöße gegen Umweltauflagen sowie unangemessene Umweltbelastungen</t>
  </si>
  <si>
    <t>Aspetto negativo: Violazioni dei requisiti ambientali e impatto inadeguato sull'ambiente</t>
  </si>
  <si>
    <t>Negative aspect: infringement of environmental regulations and disproportionate environmental pollution</t>
  </si>
  <si>
    <t>Aspecto negativo: infracción de la normativa medioambiental e impacto desproporcionado</t>
  </si>
  <si>
    <t xml:space="preserve">Aspecto negativo: Violação de exigências ambientais, bem como elevados impactos ambientais </t>
  </si>
  <si>
    <t>Transparenz und gesellschaftliche Mitentscheidung</t>
  </si>
  <si>
    <t>Trasparenza e condivisione sociale delle decisioni</t>
  </si>
  <si>
    <t>Social co-determination and transparency</t>
  </si>
  <si>
    <t>Transparencia y participación democrática del entorno social</t>
  </si>
  <si>
    <t xml:space="preserve">Transparência e participação social na tomada de decisões </t>
  </si>
  <si>
    <t>Transparenz</t>
  </si>
  <si>
    <t>Trasparenza</t>
  </si>
  <si>
    <t>Transparency</t>
  </si>
  <si>
    <t>Transparencia</t>
  </si>
  <si>
    <t>Transparência</t>
  </si>
  <si>
    <t>Gesellschaftliche Mitbestimmung</t>
  </si>
  <si>
    <t>Condivisione sociale delle decisioni</t>
  </si>
  <si>
    <t>Social participation</t>
  </si>
  <si>
    <t>Participación en la toma de decisiones el entorno social</t>
  </si>
  <si>
    <t>Participação social na tomada de decisões</t>
  </si>
  <si>
    <t>Negativ-Aspekt: Förderung von Intransparenz und bewusste Fehlinformation</t>
  </si>
  <si>
    <t>Aspetto negativo: Promozione di poca trasparenza e informazioni consapevolmente errate</t>
  </si>
  <si>
    <t>Negative aspect: lack of transparency and wilful misinformation</t>
  </si>
  <si>
    <t>Aspecto negativo: manipulación de la información y falta de transparencia</t>
  </si>
  <si>
    <t>Aspecto negativo: Promoção de intransparência e propagação de informação enganosa</t>
  </si>
  <si>
    <t>Fakten zum Unternehmen</t>
  </si>
  <si>
    <t>Fatti sull’azienda</t>
  </si>
  <si>
    <t>Company details</t>
  </si>
  <si>
    <t>Datos de la empresa</t>
  </si>
  <si>
    <t xml:space="preserve">Bitte füllen Sie die farblich markierten Felder mit Daten für den Bilanzierungszeitraum, meist das Geschäftsjahr, aus. Falls der Bilanzierungszeitraum länger als 1 Jahr ist können Sie auch ein Geschäftsjahr aus dem Bilanzierungszeitraum auswählen. Sollten dennoch keine konkreten Daten vorliegen bitte um grobe Schätzungen, da die Berechnung sonst fehlerhaft ist. </t>
  </si>
  <si>
    <t>Si prega di compilare i campi con codice colore con i dati per il periodo contabile, di solito l'anno fiscale. Se il periodo contabile supera 1 anno, è anche possibile selezionare un anno fiscale dal periodo contabile. Se non ci sono dati concreti, si prega di fornire stime approssimative, altrimenti il ​​calcolo sarà errato.</t>
  </si>
  <si>
    <t>Fill in the highlighted fields below. Where detailed information is not available, please enter estimates, otherwise the calculation will not be accurate</t>
  </si>
  <si>
    <t>Rellene los campos marcados con color. Si no dispusiera de algunos datos en concreto, estime su valor. Los datos son necesarios para que la hoja de cálculo funcione correctamente.</t>
  </si>
  <si>
    <t>bitte einfügen</t>
  </si>
  <si>
    <t>Inserisca per favore</t>
  </si>
  <si>
    <t>Please enter</t>
  </si>
  <si>
    <t>Escriba</t>
  </si>
  <si>
    <t>Bitte Auswählen</t>
  </si>
  <si>
    <t>Selezioni per favore</t>
  </si>
  <si>
    <t>Please choose</t>
  </si>
  <si>
    <t>Seleccione del catálogo</t>
  </si>
  <si>
    <t>Beschreibung des Gewichtungsmodelles</t>
  </si>
  <si>
    <t>Descrizione del modello di pesatura</t>
  </si>
  <si>
    <t>Description of the weighting model</t>
  </si>
  <si>
    <t>Descripción del método de ponderación</t>
  </si>
  <si>
    <t>Themen</t>
  </si>
  <si>
    <t>Temi</t>
  </si>
  <si>
    <t>Themes</t>
  </si>
  <si>
    <t>Temas</t>
  </si>
  <si>
    <t>Werte ►
Berührungsgruppe ▼</t>
  </si>
  <si>
    <t>Valori ►
Gruppi d‘interesse ▼</t>
  </si>
  <si>
    <t>Values ►
Stakekolders ▼</t>
  </si>
  <si>
    <t>Valores ►
Grupos deinterés ▼</t>
  </si>
  <si>
    <t>Berührungsgruppen &amp; Werte</t>
  </si>
  <si>
    <t>Gruppi d‘interesse &amp; valori</t>
  </si>
  <si>
    <t>Stakekolders &amp; values</t>
  </si>
  <si>
    <t>Grupos de interés ▼</t>
  </si>
  <si>
    <t>Allgemein</t>
  </si>
  <si>
    <t>Generale</t>
  </si>
  <si>
    <t>General</t>
  </si>
  <si>
    <t>Anmerkungen</t>
  </si>
  <si>
    <t>Note</t>
  </si>
  <si>
    <t>Notes</t>
  </si>
  <si>
    <t>Notas aclaratorias</t>
  </si>
  <si>
    <t xml:space="preserve"> (für EPUs skaliert)</t>
  </si>
  <si>
    <t xml:space="preserve"> (scalato per imprese individuali)</t>
  </si>
  <si>
    <t xml:space="preserve"> (scaled for STs)</t>
  </si>
  <si>
    <t>(ponderado para empresas unipersonales)</t>
  </si>
  <si>
    <t xml:space="preserve"> (für EPUs nicht relevant)</t>
  </si>
  <si>
    <t xml:space="preserve"> (non rilevante per imprese di un collaboratore)</t>
  </si>
  <si>
    <t xml:space="preserve"> (not relevant for STs)</t>
  </si>
  <si>
    <t>(no aplica en empresas unipersonales)</t>
  </si>
  <si>
    <t>Anmerkung: Dies ist kein Testat.</t>
  </si>
  <si>
    <t>Annotazione: Questo non è un attestato.</t>
  </si>
  <si>
    <t>Note: This is not a certificate.</t>
  </si>
  <si>
    <t>Nota: esto no es un certificado</t>
  </si>
  <si>
    <t>GEMEINWOHL-MATRIX</t>
  </si>
  <si>
    <t>MATRICE DEL BENE COMUNE</t>
  </si>
  <si>
    <t>COMMON GOOD MATRIX</t>
  </si>
  <si>
    <t>MATRIZ DEL BIEN COMÚN</t>
  </si>
  <si>
    <t xml:space="preserve"> von </t>
  </si>
  <si>
    <t xml:space="preserve"> di </t>
  </si>
  <si>
    <t>of</t>
  </si>
  <si>
    <t>de</t>
  </si>
  <si>
    <t xml:space="preserve"> Punkten</t>
  </si>
  <si>
    <t xml:space="preserve"> punti</t>
  </si>
  <si>
    <t xml:space="preserve"> points</t>
  </si>
  <si>
    <t>Menschenwürde</t>
  </si>
  <si>
    <t>Dignità umana</t>
  </si>
  <si>
    <t>Human dignity</t>
  </si>
  <si>
    <t>Dignidad humana</t>
  </si>
  <si>
    <t>Solidarität &amp; Gerechtigkeit</t>
  </si>
  <si>
    <t>Solidarietà &amp; giustizia</t>
  </si>
  <si>
    <t>Solidarity &amp; social justice</t>
  </si>
  <si>
    <t>Solidaridad y justicia</t>
  </si>
  <si>
    <t>Ökologische Nachhaltigkeit</t>
  </si>
  <si>
    <t>Sostenibilità ambientale</t>
  </si>
  <si>
    <t>Environmental sustainability</t>
  </si>
  <si>
    <t>Sostenibilidad medioambiental</t>
  </si>
  <si>
    <t>Transparenz &amp; Mitentscheidung</t>
  </si>
  <si>
    <t>Trasparenza &amp; cogestione</t>
  </si>
  <si>
    <t>Transparency &amp; co-determination</t>
  </si>
  <si>
    <t>Transparencia y participación democrática</t>
  </si>
  <si>
    <t>Gemeinwohl-Stern für</t>
  </si>
  <si>
    <t>Stella del Bene Comune per</t>
  </si>
  <si>
    <t>Common Good Star for</t>
  </si>
  <si>
    <t>Diagrama de araña de</t>
  </si>
  <si>
    <t>BILANZ-ÜBERSICHT</t>
  </si>
  <si>
    <t>QUADRO DEL BILANCIO</t>
  </si>
  <si>
    <t>BALANCE OVERVIEW</t>
  </si>
  <si>
    <t>VISTA GLOBAL DEL BALANCE</t>
  </si>
  <si>
    <t>MITBESTIMMUNG UND TRANSPARENZ</t>
  </si>
  <si>
    <t>COGESTIONE E TRASPARENZA</t>
  </si>
  <si>
    <t>TRANSPARENCY &amp; CO-DETERMINATION</t>
  </si>
  <si>
    <t>TRANSPARENCIA Y PARTICIPACIÓN DEMOCRÁTICA</t>
  </si>
  <si>
    <t>MENSCHENWÜRDE</t>
  </si>
  <si>
    <t>DIGNITA’ UMANA</t>
  </si>
  <si>
    <t>HUMAN DIGNITY</t>
  </si>
  <si>
    <t>DIGNIDAD HUMANA</t>
  </si>
  <si>
    <t>SOLIDARITÄT</t>
  </si>
  <si>
    <t>SOLIDARIETA’</t>
  </si>
  <si>
    <t>SOLIDARITY</t>
  </si>
  <si>
    <t>SOLIDARIDAD</t>
  </si>
  <si>
    <t>ÖKOLOGISCHE NACHHALTIGKEIT</t>
  </si>
  <si>
    <t>SOSTENIBILITA’ AMBIENTALE</t>
  </si>
  <si>
    <t>ENVIRONMENTAL SUSTAINABILITY</t>
  </si>
  <si>
    <t>SOSTENIBILIDAD MEDIOAMBIENTAL</t>
  </si>
  <si>
    <t>SOZIALE GERECHTIGKEIT</t>
  </si>
  <si>
    <t>GIUSTIZIA SOCIALE</t>
  </si>
  <si>
    <t>SOCIAL JUSTICE</t>
  </si>
  <si>
    <t>JUSTICIA SOCIAL</t>
  </si>
  <si>
    <t>SUMME</t>
  </si>
  <si>
    <t>SOMMA</t>
  </si>
  <si>
    <t>TOTAL</t>
  </si>
  <si>
    <t>(für EPUs skaliert)</t>
  </si>
  <si>
    <t>(valori scalati per l’impresa di 1 persona)</t>
  </si>
  <si>
    <t>(scaled for STs)</t>
  </si>
  <si>
    <t>Dokumentation der Bewertung</t>
  </si>
  <si>
    <t>Documentazione della valutazione</t>
  </si>
  <si>
    <t>Documentation of assessment</t>
  </si>
  <si>
    <t>Documentación de la puntuación</t>
  </si>
  <si>
    <t>Selbsteinschätzung</t>
  </si>
  <si>
    <t>Valutazione propria</t>
  </si>
  <si>
    <t>Self-assessment</t>
  </si>
  <si>
    <t>Autoevaluación</t>
  </si>
  <si>
    <t>Peer-Evaluation</t>
  </si>
  <si>
    <t>Valutazione peer</t>
  </si>
  <si>
    <t>Peer-assessment</t>
  </si>
  <si>
    <t>Evaluación peer</t>
  </si>
  <si>
    <t>Provisorische Bewertung des externen Audits</t>
  </si>
  <si>
    <t>Valutazione esterna bozza</t>
  </si>
  <si>
    <t>Provisional audit assessment</t>
  </si>
  <si>
    <t>Puntuación provisional de la auditoría externa</t>
  </si>
  <si>
    <t>Definitive Bewertung externen Audits /Peer</t>
  </si>
  <si>
    <t>Valutazione definitiva audit esterno/Peer</t>
  </si>
  <si>
    <t>Agreed audit assessment</t>
  </si>
  <si>
    <t>Puntuación definitiva de la auditoría externa/Peer</t>
  </si>
  <si>
    <t>Passwort für den Schutz der Tabellen: „ebc“</t>
  </si>
  <si>
    <t>Password per la protezione delle tabelle: „ebc“</t>
  </si>
  <si>
    <t>Password for EXCEL sheet protection "ebc"</t>
  </si>
  <si>
    <t>Contraseña de esta hoja de cálculo: “ebc”</t>
  </si>
  <si>
    <t>alta</t>
  </si>
  <si>
    <t>media</t>
  </si>
  <si>
    <t>baja</t>
  </si>
  <si>
    <t>non applicabile</t>
  </si>
  <si>
    <t>non applicable</t>
  </si>
  <si>
    <t>no aplica</t>
  </si>
  <si>
    <t xml:space="preserve">Werte-Stern für </t>
  </si>
  <si>
    <t xml:space="preserve">Stella dei valori per </t>
  </si>
  <si>
    <t xml:space="preserve">Values star for </t>
  </si>
  <si>
    <t>Diagrama de araña. Valores de</t>
  </si>
  <si>
    <t xml:space="preserve">Gruppen-Stern für </t>
  </si>
  <si>
    <t xml:space="preserve">Stella dei gruppi per </t>
  </si>
  <si>
    <t xml:space="preserve">Group star for </t>
  </si>
  <si>
    <t>Diagrama de araña. Grupos de interés de</t>
  </si>
  <si>
    <t xml:space="preserve">Themen-Stern für </t>
  </si>
  <si>
    <t xml:space="preserve">Stella dei temi per </t>
  </si>
  <si>
    <t xml:space="preserve">Theme star for </t>
  </si>
  <si>
    <t>Diagrama de araña. Temas de</t>
  </si>
  <si>
    <t>Die für alle Unternehmen gleiche und starre Punkteverteilung in der Matrix hat in den vergangenen Jahren innerhalb des Matrix-Entwicklungs-Team (MET) für viele Diskussionen gesorgt. Auch von außerhalb sind viele Fragen und kritische Rückmeldungen an uns herangetragen worden. Bislang war die Punkteverteilung auf die Themen mit Ausnahme von Ein-Personen-Unternehmen für alle Unternehmen gleich - unabhängig von der Unternehmensgröße, Branche und anderen Rahmenbedingungen (regionaler Hintergrund, B2B versus B2C, etc.). Relevanz und WirkungImpact auf das Gemeinwohl sind jedoch von diesen Determinanten nicht unabhängig. Beispielsweise ist die Lieferkette eines Elektronik-Handelsunternehmen (A1-A4) weitaus bedeutender als für ein Bergbauunternehmen, welches wiederum u.a. sehr große Effekte bei seinen direkten ökologischen Auswirkungen hat (E3). Das neue Gewichtungsmodell soll diesen Gedanken Rechnung tragen und die wesentlichen Faktoren stärker akzentuieren. Im Prozess wurden Meinungen der Bewegung im Rahmen einer Umfrage eingeholt und eine klare Präferenz für eine neue Herangehensweise rückgemeldet.</t>
  </si>
  <si>
    <t>La stessa distribuzione di punti nella matrice, che è la stessa per tutte le imprese, ha suscitato molto dibattito all'interno del Gruppo di Sviluppo della Matrice (GSM) negli ultimi anni. Anche dall'esterno molte domande e feedback critici ci sono stati portati. Fino ad ora, la distribuzione dei punti sui problemi con l'eccezione di imprese individuali stesse per tutte le aziende - indipendentemente dalle dimensioni dell'azienda, l'industria, e le altre condizioni (di fondo regionale, B2B B2C contro, etc.). Rilevanza e impatto L'impatto sul bene comune, tuttavia, non è indipendente da questi fattori determinanti. Ad esempio, la catena di approvvigionamento di una società commerciale di elettronica (A1-A4) è molto più significativa che per una società mineraria, che a ha effetti molto grandi sul suo impatto ambientale diretto (E3). Il nuovo modello di ponderazione dovrebbe riflettere questa idea e accentuare maggiormente i fattori chiave. Durante il processo, le opinioni sul movimento sono state raccolte attraverso un sondaggio e una chiara preferenza per un nuovo approccio è stata confermata.</t>
  </si>
  <si>
    <t xml:space="preserve">The allocation of equal and fixed scores for all companies has been the subject of much discussion within the Matrix-development team during the past few years. Outside sources have also raised many questions and provided feedback. Untill now, the way points are distributed for themes has been the same for all companies (with the exception of one-person companies), regardless of company size, industry and other parameters (regional background, B2B versus B2C, etc.). However, these variables may well have an effect on the relevance to and effect on the common good.For example, the supply chain of an electronics trading company (A1-A4) is more significant than for a mining company, which, in turn, leaves a huge, direct environmental impact, amongst other things (E3). The new weighting model addresses these issues and highlights the significant factors. A survey on the changes was conducted, with feedback clearly favouring a new approach. </t>
  </si>
  <si>
    <t>La distribución de la puntuación entre los diferentes temas era igual para cualquier tipo de empresas hasta esta versión. Esta cuestión ha sido debatida en el equipo de desarrollo de la matriz en los últimos años. También hemos recibido muchas preguntas y críticas desde fuera a este respecto. Hasta ahora, la distribución de puntuación era para todas las empresas igual, excepto para empresas unipersonales, independientemente del tamaño de la empresa, el sector y otros factores (región, B2B o B2C, etc.) Sin embargo, la relevancia y el impacto en el Bien Común no son independientes de estas variables. Por ejemplo, si una empresa tiene una cadena de suministro en el sector de la electrónica tendrá mayor relevancia lo relevativo a los temas A1 – A4 que la industria minera, que sin embargo tendrá mucha relevancia en los impactos ambientales directos, tratados en E3. El nuevo método de ponderación tiene en cuenta estas cuestiones y acentúa la importancia de los factores fundamentales. Dentro de este proceso se recopilaron las opiniones del movimiento en una encuesta que dio como resultado una preferencia clara por tratar este tema con un nuevo método.</t>
  </si>
  <si>
    <t xml:space="preserve">Bei der Gewichtung der 3 Berührungsgruppen A) LieferantInnen, B) InvestorenInnen und C) MitarbeiterInnen werden die Finanzströme zu diesen Berührungsgruppen zur Gewichtung herangezogen: A) Beschaffungsausgaben, B) Gewinn und Finanzierungskosten C) Löhne und Gehälter. Wir sind uns der limitierten Aussagekraft monetärer Größen bewusst und haben auch Ideen, wie dies in Zukunft verbessert werden kann. Gleichzeitig sind diese Zahlen in der  Finanzbilanzen der Unternehmen vorhanden, somit leicht verfügbar und kommen dem Bedürfnis vieler Unternehmen nach Einfachheit nach. Da in den Beschaffungskosten Steuern und Finanzierungskosten entahlten fliessen diese nur zu 50% in die Gewichtung ein. </t>
  </si>
  <si>
    <t>Quando ponderate i 3 gruppi di contatto A) Fornitori, B) Investitori e C) Dipendenti, i flussi finanziari verso questi gruppi tattili sono ponderati come segue: A) Spese di approvvigionamento, B) Costi di profitto e di finanziamento C) Retribuzioni. Siamo consapevoli della validità limitata delle risorse monetarie e abbiamo anche idee su come migliorarle in futuro. Allo stesso tempo, queste cifre sono presenti nei conti finanziari delle aziende, quindi facilmente disponibili e soddisfano le esigenze di molte aziende per semplicità. Poiché le tasse e i costi di finanziamento erano inclusi nei costi di approvvigionamento, questi rappresentavano solo il 50% della ponderazione.</t>
  </si>
  <si>
    <t>For the weighting of three stakeholder groups, A) suppliers, B) investors and C) employees, the matrix takes into account the following financial flows to these stakeholders: A) procurement expenditure, B) profit and borrowing costs C) wages and salaries. We are aware of the limited significance attached to money in the current matrix and have plans for how this can be improved in the future. At the same time, this information is readily available in companies' financial balance sheets, and easily meets the needs of many companies. Since taxes and borrowing costs are included in procurement expenditure, these account for only 50% of the weighting.</t>
  </si>
  <si>
    <t>En la ponderación de los grupos de interés A) Proveedores, B) Inversores y socios financieros y C) Trabajadores se toman como referencia los flujos financieros. Para A) los gastos en compras, para B) beneficios y costes financieros y para C) la remuneración. Somos conscientes de las limitaciones que presenta el basar esta ponderación en valores monetarios, y por eso estamos desarrollando ideas de como puede mejorarse en el futuro. Por otro lado, los datos requeridos se encuentran en los balances financieros de las empresas, con lo que son datos fácilmente disponibles, siendo más sencillo para las empresas. Como en los gastos de proveedores también se encuentran los impuestos y costes financieros, sólo se tiene en cuenta el 50% de este valor a la hora de hacer la ponderación.</t>
  </si>
  <si>
    <t>Auf Ebene der Themen gibt es ebenfalls Kriterien die zur Gewichtung herangezogen werden, beispielsweise Größe oder Branche eines Unternehmen oder Arbeitsrechtslage von Ländern. Für die Branchendefinition wenden wir den International Standard Industrial Classification of All Economic Activities (ISIC Rev.4) der Vereinten Nationen an. Für die Größeneinstufung wird die EU Definition herangezogen. Die nachstehende Tabelle fasst gegenwärtige Gewichtungsfaktoren zusammen (Stand Mai 2017).</t>
  </si>
  <si>
    <t>A livello di argomenti ci sono anche i criteri che vengono utilizzati per ponderazione, come la dimensione o il settore di una situazione aziendale o di lavoro i diritti dei paesi. Per la definizione del settore, utilizziamo la classificazione internazionale standard internazionale delle Nazioni Unite di tutte le attività economiche (ISIC Rev.4). La classificazione delle taglie si basa sulla definizione UE. La tabella seguente riepiloga i fattori di ponderazione correnti (a partire da maggio 2017).</t>
  </si>
  <si>
    <t>There are also criteria for the weighting of the themes, for example a company's size or industry or the relevant local employment law. The United Nations' International Standard Industrial Classification of All Economic Activities (ISIC Rev.4) is used for all industry sector definitions. For size classification, definitions as set out by the EU are used. The table below summarises the current weighting factors (as at May 2017):</t>
  </si>
  <si>
    <t xml:space="preserve">En la ponderación de los temas también se tienen en cuenta criterios específicos, como por ejemplo el tamaño, el sector o la región. Para la definición de sectores utilizamos la Clasificación Internacional Industrial Uniforme (ISIC Rev. 4 por sos siglas en inglés) de las naciones unidas. En cuanto al tamaño se utiliza la definición de la UE. La siguiente tabla muestra los factores de ponderación actuales (Mayo 2017) </t>
  </si>
  <si>
    <t>Die Gewichtung dieses Thema’s ist abhängig von den sozialen Risiken der Zulieferbranchen</t>
  </si>
  <si>
    <t>La ponderazione di questo tema dipende dai rischi sociali del settore dei fornitori</t>
  </si>
  <si>
    <t>The weighting of this theme is dependent on the social risks of the supplier's sector.</t>
  </si>
  <si>
    <t>La ponderación de este tema depende de los riesgos sociales en la cadena de suministro.</t>
  </si>
  <si>
    <t>Die Gewichtung dieses Thema’s ist abhängig vom ökologischen Effekt der Branche des Lieferanten (siehe Tabellenblatt “Industry”)</t>
  </si>
  <si>
    <t>La ponderazione di questo tema dipende dall'effetto ecologico dell'impresa del fornitore (vedi foglio "impresa")</t>
  </si>
  <si>
    <t>The weighting of this theme is dependent on the environmental effect of the supplier's sector (see sheet “Industry").</t>
  </si>
  <si>
    <t>La ponderación de este tema depende de los impactos medioambientales del sector al que pertenecen sus proveedores (veáse la hoja “Industry”)</t>
  </si>
  <si>
    <t>Die Gewichtung dieses Thema’s ist abhängig von den Mitbestimmungsrechte in den Ländern der wichtigsten Zulieferbranchen (basierend auf dem ITUC-Index der International Trade Union Confederation)</t>
  </si>
  <si>
    <t>La ponderazione di questo tema dipende dai diritti di partecipazione nei paesi dei settori di approvvigionamento più importanti (in base alla CSI-indice della Confederazione internazionale dei sindacati)</t>
  </si>
  <si>
    <t>The weighting of this theme is dependent on co-determination rights in the countries of the most important supply industries (based on the ILUC index of the International Labour Union).</t>
  </si>
  <si>
    <t>La ponderación de este tema depende de los derechos de participación democrática en los países de los proveedores más importantes (basado en el índice que elabora la confederación sindical internacional ITUC)</t>
  </si>
  <si>
    <t>Die Gewichtung dieses Thema’s ist abhängig von der Relation Umsatz zu Bilanzsumme</t>
  </si>
  <si>
    <t>La ponderazione di questo argomento dipende dalla relazione tra fatturato e totale del bilancio</t>
  </si>
  <si>
    <t>The weighting of this theme depends on the ratio turnover to the balance sheet total.</t>
  </si>
  <si>
    <t>La ponderación de este tema depende del cociente Facturación / Balance (financiero)</t>
  </si>
  <si>
    <t xml:space="preserve">Die Gewichtung dieses Thema’s ist abhängig von der Relation Gewinn zu Umsatz </t>
  </si>
  <si>
    <t>La ponderazione di questo argomento dipende dalla relazione tra utile e fatturato</t>
  </si>
  <si>
    <t>The weighting of this theme depends on the ratio profit to turnover</t>
  </si>
  <si>
    <t xml:space="preserve">La ponderación de este tema depende del cociente beneficio neto / facturación </t>
  </si>
  <si>
    <t>Die Gewichtung dieses Thema’s ist abhängig  Zugängen zum Anlagevermögen und Finanzvermögen in Relation zu der Bilanzsumme</t>
  </si>
  <si>
    <t>La ponderazione di questo tema dipende dalle aggiunte alle attività e alle attività finanziarie in relazione al totale del bilancio</t>
  </si>
  <si>
    <t>The weighting of this theme is dependent on additions to fixed-assets and financial assets in relation to the balance sheet total.</t>
  </si>
  <si>
    <t>La ponderación de este tema depende del cociente de las altas de activos fijos y financieros en relación al balance (financiero)</t>
  </si>
  <si>
    <t>Die Gewichtung dieses Thema’s ist abhängig von der Größe des Unternehmens</t>
  </si>
  <si>
    <t>La ponderazione di questo tema dipende dalle dimensioni dell'impresa</t>
  </si>
  <si>
    <t>The weighting of this theme is dependent on the size of the company.</t>
  </si>
  <si>
    <t>La ponderación de este tema depende del tamaño de la empresa</t>
  </si>
  <si>
    <t>Die Gewichtung dieses Thema’s ist abhängig von der Existenz einer Kantine für die Mehrheit der Mitarbeiter*innen sowie dem (geschätzten) durchschnittlichen Anfahrtsweg zur Arbeit.</t>
  </si>
  <si>
    <t>La ponderazione di questo tema dipende dall'esistenza di una mensa per la maggior parte dei dipendenti e dal viaggio medio (stimato) fino al lavoro.</t>
  </si>
  <si>
    <t xml:space="preserve">The weighting of this theme is dependent on the existence of a canteen for most of the employees as well as an (estimated) average commute to work. </t>
  </si>
  <si>
    <t>La ponderación de este tema depende de si la empresa tiene cantina a disposición de la mayoría de los trabajadores así como del trayecto medio (estimado) al puesto de trabajo.</t>
  </si>
  <si>
    <t>Die Gewichtung dieses Thema’s ist abhängig von der Größe des Unternehmens sowie von den Mitbestimmungsrechte in den Ländern der wichtigsten Standorte (basierend auf dem ITUC-Index der International Labour Union)</t>
  </si>
  <si>
    <t>La ponderazione di questo tema dipende dalle dimensioni dell'impresa e dai diritti di partecipazione nei paesi delle sedi più importanti (in base all'indice ITUC dell'International Labour Union)</t>
  </si>
  <si>
    <t>The weighting of this theme is dependent on company size and co-determination rights in the countries of the most important supply industries (based on the ILUC index of the International Labour Union).</t>
  </si>
  <si>
    <t>La ponderación de este tema depende tanto del tamaño de la empresa como de los derechos de participación democrática en los países más importantes donde se encuentra la empresa presente (basado en el índice que elabora la confederación internacional sindical ITUC)</t>
  </si>
  <si>
    <t xml:space="preserve">Die Gewichtung dieses Thema’s ist abhängig von der Branche </t>
  </si>
  <si>
    <t>La ponderazione di questo tema dipende dal settore</t>
  </si>
  <si>
    <t>The weighting of this theme depends on the industry sector.</t>
  </si>
  <si>
    <t>La ponderación de este tema depende del sector de la empresa</t>
  </si>
  <si>
    <t>Die Gewichtung dieses Thema’s ist abhängig davon, ob Kund*innen in erster Linie Private oder Unternehmen sind</t>
  </si>
  <si>
    <t>La ponderazione di questo tema dipende dal fatto che i clienti siano principalmente privati o imprese</t>
  </si>
  <si>
    <t>The weighting of this theme depends on whether customers are primarily individuals or companies.</t>
  </si>
  <si>
    <t>La ponderación de este tema depende de si la empresa es principalmente B2B o B2C</t>
  </si>
  <si>
    <t>Die Gewichtung dieses Thema’s ist abhängig von der Umsatzrentabilität (Gewinn/Umsatz)</t>
  </si>
  <si>
    <t>La ponderazione di questo tema dipende dal rendimento delle vendite (profitti / fatturato)</t>
  </si>
  <si>
    <t>The weighting of this theme is dependent on the return on sales (profit/turnover).</t>
  </si>
  <si>
    <t>La ponderación de este tema depende de la rentabilidad de la empresa entendida como Beneficios / Facturación</t>
  </si>
  <si>
    <t>Die Gewichtung dieses Thenma’s ist abhängig von der Branche</t>
  </si>
  <si>
    <t>Die Gewichtung dieses Thema’s ist abhängig von der Größe sowie der Branche des Unternehmens.</t>
  </si>
  <si>
    <t>La ponderazione di questo tema dipende dalle dimensioni sia del settore che dell’impresa.</t>
  </si>
  <si>
    <t>The weighting of this theme depends on the company size and the industry sector.</t>
  </si>
  <si>
    <t>La ponderación de este tema depende tanto del tamaño de la empresa como del sector.</t>
  </si>
  <si>
    <t>A - Landwirtschaft, Forstwirtschaft und Fischerei</t>
  </si>
  <si>
    <t>A-AGRICOLTURA, SILVICOLTURA E PESCA</t>
  </si>
  <si>
    <t>A - agriculture, forestry management, fishing industry</t>
  </si>
  <si>
    <t>A – Agricultura, silvicultura y pesca</t>
  </si>
  <si>
    <t>B - Bergbau und Gewinnung von Steinen und Erden</t>
  </si>
  <si>
    <t>B-ATTIVITÀ ESTRATTIVA</t>
  </si>
  <si>
    <t>B - Mining and quarrying</t>
  </si>
  <si>
    <t>B – Explotación de minas y canteras</t>
  </si>
  <si>
    <t>C - Verarbeitendes Gewerbe (nicht weiter spezifiziert)</t>
  </si>
  <si>
    <t>C-ATTIVITÀ MANIFATTURIERE</t>
  </si>
  <si>
    <t>C - Manufacturing industries (not further specified)</t>
  </si>
  <si>
    <t>C – Indutrias manufactureras</t>
  </si>
  <si>
    <t>Ca - Produktion von Lebensmittel, Getränken und Tabak (C10,C11,C12)</t>
  </si>
  <si>
    <t>Ca-Prodotti di alimenti e bevande</t>
  </si>
  <si>
    <t>Ca - Food production, drinks and tobacco (C10, C11, C12)</t>
  </si>
  <si>
    <t>Ca – Industria de alimentación, bebidas y tabaco (C10, C11, C12)</t>
  </si>
  <si>
    <t>Cb - Produktion von Textilien, Kleidung, Leder und Produkten hieraus (C13,C14,C15)</t>
  </si>
  <si>
    <t>Cb-Prodotti di tessuti, vestiti, cuoio</t>
  </si>
  <si>
    <t>Cb - Textile production, clothing, leather and leather products (C13, C14, C15)</t>
  </si>
  <si>
    <t>Cb – Industria textil, prendas de vestir, cuero y calzado (C13, C14, C15)</t>
  </si>
  <si>
    <t>Cc - Produktion von Holz- und Papierprodukten sowie Drucksorten (C16,C17,C18)</t>
  </si>
  <si>
    <t>Cc-Prodotti di legno e carta (C16,C17,C18)</t>
  </si>
  <si>
    <t>Cc - Paper and forest products, also printed matter (C16, C17, C18)</t>
  </si>
  <si>
    <t>Cc – Industria de la madera y el corcho; cestería y espartería; papel; artes gráficas y reproducción de soportes grabados</t>
  </si>
  <si>
    <t>Cd - Produktion von petrochemischen Produkte und Kunststoffen (C19, C20;C22)</t>
  </si>
  <si>
    <t>Cd-Prodotti petrol-sintetici e plastica (C19, C20;C22)</t>
  </si>
  <si>
    <t>Cd - Production of petrochemical products and plastics (C19, C20;C22)</t>
  </si>
  <si>
    <t>Cd – Industria química; coquerías y refino de petróleo; fabricación de productos de caucho y plásticos (C19, C20, C22)</t>
  </si>
  <si>
    <t>Ce - Produktion von pharmazeutischen Produktion und Präparaten (C21)</t>
  </si>
  <si>
    <t>Ce-Prodotti farmaceutici e medicinali (C21)</t>
  </si>
  <si>
    <t>Ce - Pharmaceutical products and preparations (C21)</t>
  </si>
  <si>
    <t>Ce – Fabricación de productos farmacéuticos (C21)</t>
  </si>
  <si>
    <t>Cf - Produktion nicht metallischer Mineralstoffe (C23)</t>
  </si>
  <si>
    <t>Cf-Prodotti non metallici e minerali (C23)</t>
  </si>
  <si>
    <t>Cf - Production of non-metallic minerals (C23)</t>
  </si>
  <si>
    <t>Cf – Fabricación de otros productos minerales no metálicos (C23)</t>
  </si>
  <si>
    <t>Cg - Produktion von Metallen und metallischen Produkten (exkl. Maschinen und Geräten) (C24,C25)</t>
  </si>
  <si>
    <t>Cg-Prodotti di metalli</t>
  </si>
  <si>
    <t>Cg - Production of metal and metallic products (excl. machines and equipment) (C24, C25)</t>
  </si>
  <si>
    <t>Cg – Metalurgia; fabricación de productos de hierro, acero y ferroaleaciones; fabricación de productos metálicos, excepto maquinaria (C24, C25)</t>
  </si>
  <si>
    <t>Ch - Produktion von elektronischen, optischen und sonstigen Geräten und Bauteilen sowie Computer (C26,C27,C28)</t>
  </si>
  <si>
    <t>Ch-Prodotti elettronici ed elettrici (C26,C27,C28)</t>
  </si>
  <si>
    <t>Ch - Production of electronic equipment, instruments and components as well as computers (C26, C27, C28)</t>
  </si>
  <si>
    <t>Ch – Fabricación de productos informáticos, electrónicos y ópticos; fabricación de material y equipo eléctrico; fabricación de maquinaria y equipo (C26, C27, C28)</t>
  </si>
  <si>
    <t xml:space="preserve">D - Strom-, Gas-, Dampfversorgung und Kühlung </t>
  </si>
  <si>
    <t>D-FORNITURA DI ENERGIA ELETTRICA, GAS, VAPORE E ARIA CONDIZIONATA</t>
  </si>
  <si>
    <t>D - Electric, Gas, Steam and Refrigeration</t>
  </si>
  <si>
    <t>D – Suministro de electricidad, gas, vapor y aire acondicionado</t>
  </si>
  <si>
    <t>E - Wasserversorgung, Abfallwirtschaft</t>
  </si>
  <si>
    <t>E-FORNITURA DI ACQUA; RETI FOGNARIE, ATTIVITÀ DI TRATTAMENTO DEI RIFIUTI E RISANAMENTO</t>
  </si>
  <si>
    <t>E - Water supply, waste management</t>
  </si>
  <si>
    <t>E – Suministro de agua, alcantarillado, gestión de desechos y actividades de saneamiento</t>
  </si>
  <si>
    <t>F - Baugewerbe</t>
  </si>
  <si>
    <t>F-Costruzioni</t>
  </si>
  <si>
    <t>F - Construction industry</t>
  </si>
  <si>
    <t>F – Construcción</t>
  </si>
  <si>
    <t>G - Groß- und Einzelhandel sowie Werkstätten für Kraftfahrzeuge (Anmerkung: Groß- und Einzelhandel nicht auf KFZ beschränkt)</t>
  </si>
  <si>
    <t>G-Commercio all'ingrosso e al dettaglio, officine</t>
  </si>
  <si>
    <t>G - Wholesale and retail</t>
  </si>
  <si>
    <t>G – Comercio al por mayor y al por menor, reparación de los vehículos de motor y de las motocicletas</t>
  </si>
  <si>
    <t>H - Verkehr und Lagerhaltung</t>
  </si>
  <si>
    <t>H-TRASPORTO E MAGAZZINAGGIO</t>
  </si>
  <si>
    <t>H - Transport and warehousing</t>
  </si>
  <si>
    <t>H – Transporte y almacenamiento</t>
  </si>
  <si>
    <t>I - Beherbergung und Gastronomie</t>
  </si>
  <si>
    <t>I-SERVIZI DI ALLOGGIO E DI RISTORAZIONE</t>
  </si>
  <si>
    <t>I - Accommodation and catering</t>
  </si>
  <si>
    <t>I – Alojamiento y servicios de comida</t>
  </si>
  <si>
    <t>J - Information und Kommunikation</t>
  </si>
  <si>
    <t>J-SERVIZI DI INFORMAZIONE E COMUNICAZIONE</t>
  </si>
  <si>
    <t>J - Information and Communication</t>
  </si>
  <si>
    <t>J – Información y comunicación</t>
  </si>
  <si>
    <t>K - Kredit- und Finanzwesen</t>
  </si>
  <si>
    <t>K-ATTIVITÀ FINANZIARIE E ASSICURATIVE</t>
  </si>
  <si>
    <t>K - Financial services</t>
  </si>
  <si>
    <t>K – Actividades financieras y de seguros</t>
  </si>
  <si>
    <t>L - (Immobilienwirtschaft</t>
  </si>
  <si>
    <t>L-ATTIVITÀ IMMOBILIARI</t>
  </si>
  <si>
    <t>L - Real estate</t>
  </si>
  <si>
    <t>L – Actividades inmobiliarias</t>
  </si>
  <si>
    <t>M - Freiberufliche, wissenschaftliche und technische Dienstleistungen</t>
  </si>
  <si>
    <t>M-ATTIVITÀ PROFESSIONALI, SCIENTIFICHE E TECNICHE</t>
  </si>
  <si>
    <t>M - Professional, technical and scientific services</t>
  </si>
  <si>
    <t>M – Actividades profesionales, científicas y técnicas</t>
  </si>
  <si>
    <t>N - Administrative und unterstützende Dienstleistungen</t>
  </si>
  <si>
    <t>N-ATTIVITÀ AMMINISTRATIVE E DI SERVIZI DI SUPPORTO</t>
  </si>
  <si>
    <t>N - Administrative and support services</t>
  </si>
  <si>
    <t>N – Actividades administrativas y servicios de apoyo</t>
  </si>
  <si>
    <t>O - Öffentliche Verwaltung; Verteidigung; Sozialversicherungswesen</t>
  </si>
  <si>
    <t>O-AMMINISTRAZIONE PUBBLICA E DIFESA; ASSICURAZIONE SOCIALE OBBLIGATORIA</t>
  </si>
  <si>
    <t>O - Public administration; defence; social security</t>
  </si>
  <si>
    <t>O – Administración pública y defensa, planes de seguridad social de afiliación obligatoria</t>
  </si>
  <si>
    <t>P-ISTRUZIONE</t>
  </si>
  <si>
    <t>P - Education</t>
  </si>
  <si>
    <t>P – Enseñanza</t>
  </si>
  <si>
    <t>Q - Gesundheit und Sozialarbeit</t>
  </si>
  <si>
    <t>Q-SANITÀ E ASSISTENZA SOCIALE</t>
  </si>
  <si>
    <t>Q - Health and social work</t>
  </si>
  <si>
    <t>Q – Servicios sociales y relacionados con la salud humana</t>
  </si>
  <si>
    <t>R - Kunst, Unterhaltung und Erholung</t>
  </si>
  <si>
    <t>R-ATTIVITA' ARTISTICHE, DI INTRATTENIMENTO E DIVERTIMENTO</t>
  </si>
  <si>
    <t>R - Art, education and leisure</t>
  </si>
  <si>
    <t>R – Artes, entretenimiento y recreación</t>
  </si>
  <si>
    <t>S - Andere Dienstleistungen</t>
  </si>
  <si>
    <t>S-ALTRE ATTIVITÀ DI SERVIZI</t>
  </si>
  <si>
    <t>S - Other services</t>
  </si>
  <si>
    <t>S – Otras actividades de servicio</t>
  </si>
  <si>
    <t>T - Private Haushalte</t>
  </si>
  <si>
    <t>T-convivenze, comunità famigliari e persone singole, condimini, amministratori di condomini</t>
  </si>
  <si>
    <t>T – Actividades de los hogares en calidad de empleadores, actividades indiferenciadas de producción de bienes y servicios de los hogares para uso propio</t>
  </si>
  <si>
    <t>U - Exterritoriale Organisationen und Körperschaften</t>
  </si>
  <si>
    <t xml:space="preserve">U-ATTIVITÀ DI ORGANIZZAZIONI E ORGANISMI EXTRATERRITORIALI </t>
  </si>
  <si>
    <t>U - Extraterritorial organisations and bodies</t>
  </si>
  <si>
    <t>U – Actividades de organizaciones y órganos extraterritoriales</t>
  </si>
  <si>
    <t>Gesamt-Ausgaben an Lieferanten (in Euro):</t>
  </si>
  <si>
    <t>Spese totali per i fornitori (in euro):</t>
  </si>
  <si>
    <t>Total purchases from suppliers (in Euros):</t>
  </si>
  <si>
    <t>Gastos totales en proveedores (en Euros):</t>
  </si>
  <si>
    <t xml:space="preserve">Tragen Sie nachstehend, bitte die 5 wichtigstenBranchen ein, aus denen Sie Produkte/Dienstleistungen beziehen. </t>
  </si>
  <si>
    <t>Inserisci sotto i 5 settori più importanti da cui acquisti prodotti / servizi.</t>
  </si>
  <si>
    <t>Enter the 5 most important industry sectors whose products or services you use.</t>
  </si>
  <si>
    <t>Introduzca los 5 secoters más importantes a los que realiza compras</t>
  </si>
  <si>
    <t>Branche</t>
  </si>
  <si>
    <t>Settore</t>
  </si>
  <si>
    <t>Industry sector</t>
  </si>
  <si>
    <t>Sector</t>
  </si>
  <si>
    <t>Beschreibung</t>
  </si>
  <si>
    <t>Description</t>
  </si>
  <si>
    <t>Descripción</t>
  </si>
  <si>
    <t>regionale Herkunft</t>
  </si>
  <si>
    <t>Provenienza regionale</t>
  </si>
  <si>
    <t>Region of origin</t>
  </si>
  <si>
    <t>Región de origen</t>
  </si>
  <si>
    <t>Ausgaben</t>
  </si>
  <si>
    <t>Spese</t>
  </si>
  <si>
    <t>Costs</t>
  </si>
  <si>
    <t>Gastos</t>
  </si>
  <si>
    <t>Überwiegende Herkunft restlicher Lieferanten</t>
  </si>
  <si>
    <t>Provenienza principale degli altri fornitori</t>
  </si>
  <si>
    <t>Main origin of the other suppliers</t>
  </si>
  <si>
    <t>Región de origen principal del resto de proveedores</t>
  </si>
  <si>
    <t>Gewinn (EBIT):</t>
  </si>
  <si>
    <t>Profitto (EBIT):</t>
  </si>
  <si>
    <t>Profit</t>
  </si>
  <si>
    <t>Beneficios (EBIT)</t>
  </si>
  <si>
    <t>Finanzierungskosten</t>
  </si>
  <si>
    <t>oneri finanziari</t>
  </si>
  <si>
    <t>Financing costs</t>
  </si>
  <si>
    <t>Costes financieros</t>
  </si>
  <si>
    <t>Erträge aus Finanzanlagen</t>
  </si>
  <si>
    <t>Proventi da attività finanziarie</t>
  </si>
  <si>
    <t>Income from financial investments</t>
  </si>
  <si>
    <t>Ingresos financieros</t>
  </si>
  <si>
    <t>Bilanzaktiva</t>
  </si>
  <si>
    <t>attività stato patrimoniale</t>
  </si>
  <si>
    <t>Total assets</t>
  </si>
  <si>
    <t>Activo (balance financiero)</t>
  </si>
  <si>
    <t xml:space="preserve">Zugänge zum Anlagevermögen </t>
  </si>
  <si>
    <t>Aggiunte alle immobilizzazioni</t>
  </si>
  <si>
    <t>Additions to fixed-assets</t>
  </si>
  <si>
    <t>Altas de activos fijos</t>
  </si>
  <si>
    <t>Finanzanlagen und Barguthaben</t>
  </si>
  <si>
    <t>Attività finanziarie e saldo di cassa</t>
  </si>
  <si>
    <t>Financial assets and cash balance</t>
  </si>
  <si>
    <t>Activos financieros y saldos de caja</t>
  </si>
  <si>
    <t xml:space="preserve">Anzahl der Mitarbeitenden (in Vollzeitäquivalenten): </t>
  </si>
  <si>
    <t>Numero di collaboratori (in equivalenti a tempo pieno):</t>
  </si>
  <si>
    <t>Number of employees (full time equivalents)</t>
  </si>
  <si>
    <t>Cantidad de trabajadores (equivalentes a jornada completa)</t>
  </si>
  <si>
    <t>Personalkosten (brutto ohne Dienstgeberanteil)</t>
  </si>
  <si>
    <t>Costi del personale (lordi senza contributo del datore di lavoro)</t>
  </si>
  <si>
    <t>Staff costs (gross without employer contribution)</t>
  </si>
  <si>
    <t>Gastos de personal</t>
  </si>
  <si>
    <t>Tragen Sie bitte nachstehend jene drei Länder und Regionen ein, wo die meisten Mitarbeitenden arbeiten</t>
  </si>
  <si>
    <t>Inserisca sotto i tre paesi e le regioni in cui lavora la maggior parte dei collaboratori</t>
  </si>
  <si>
    <t>Enter the 3 countries and regions where most of the staff are</t>
  </si>
  <si>
    <t>Introduzca los 3 países y regiones de los que la mayoría de trabajadores provienen</t>
  </si>
  <si>
    <t>Land &amp; Region</t>
  </si>
  <si>
    <t>Paese e Regione</t>
  </si>
  <si>
    <t>Country and region</t>
  </si>
  <si>
    <t>País y región</t>
  </si>
  <si>
    <t xml:space="preserve">Anteil in % </t>
  </si>
  <si>
    <t>Percentulale %</t>
  </si>
  <si>
    <t>Amount in %</t>
  </si>
  <si>
    <t>Porcentaje %</t>
  </si>
  <si>
    <t>Durchschnittlicher Arbeitsweg der Mitarbeitenden (in km):</t>
  </si>
  <si>
    <t>Distanza media al posto di lavoro dei collaboratori (in km):</t>
  </si>
  <si>
    <t>Average journey to work for staff (in km)</t>
  </si>
  <si>
    <t>Trayecto medio de los trabajadores a su lugar de trabajo (km):</t>
  </si>
  <si>
    <t>Gibt es eine Kantine für die Mehrheit der Mitarbeitenden?</t>
  </si>
  <si>
    <t>C'è una mensa per la maggior parte dei collaboratori?</t>
  </si>
  <si>
    <t>Is there a canteen for the majority of staff?</t>
  </si>
  <si>
    <t>¿Hay cantina para la mayoría de los trabajadores?</t>
  </si>
  <si>
    <t>Umsatz (in Euro)</t>
  </si>
  <si>
    <t>fatturato (in euro)</t>
  </si>
  <si>
    <t>Turnover (in Euros)</t>
  </si>
  <si>
    <t>Facturación (en euros)</t>
  </si>
  <si>
    <t>Haben Sie nahezu ausschließlich Unternehmen als Kunden</t>
  </si>
  <si>
    <t>Ha aziende quasi esclusivamente come clienti?</t>
  </si>
  <si>
    <t>Are your customers mainly other companies?</t>
  </si>
  <si>
    <t>¿Sus clientes son en su mayoría empresas?</t>
  </si>
  <si>
    <t>Tragen Sie nachstehend, bitte die 3 wichtigsten Branchen ein, in denen Ihr Unternehmen tätig ist, inklusive ungefährem Umsatzanteil</t>
  </si>
  <si>
    <t>Di seguito, descriva i 3 settori più importanti in cui opera la Sua azienda, inclusa la quota di fatturato approssimativa</t>
  </si>
  <si>
    <t>Enter the 3 most important industry sectors which your company is active in, including a rough share of turnover</t>
  </si>
  <si>
    <t>Introduzca los 3 sectores más importantes en los que opera su empresa incluyendo la facturación aprox. correspondiente</t>
  </si>
  <si>
    <t>descrizione</t>
  </si>
  <si>
    <t>% Anteil am Gesamtumsatz</t>
  </si>
  <si>
    <t>Quota % al fatturato</t>
  </si>
  <si>
    <t>% Amount of total turnover</t>
  </si>
  <si>
    <t>% sobre la facturación total</t>
  </si>
  <si>
    <t xml:space="preserve">Unternehmensgrösse </t>
  </si>
  <si>
    <t>dimensioni dell'azienda</t>
  </si>
  <si>
    <t>Company size</t>
  </si>
  <si>
    <t>Tamaño de la empresa</t>
  </si>
  <si>
    <t>Kleinstunternehmen</t>
  </si>
  <si>
    <t>microimpresa</t>
  </si>
  <si>
    <t>Micro-business</t>
  </si>
  <si>
    <t>Microempresa</t>
  </si>
  <si>
    <t>Kleinunternehmen</t>
  </si>
  <si>
    <t>Piccola impresa</t>
  </si>
  <si>
    <t>Small business</t>
  </si>
  <si>
    <t>Pequeña empresa</t>
  </si>
  <si>
    <t>Mittleres Unternehmen</t>
  </si>
  <si>
    <t>Impresa media</t>
  </si>
  <si>
    <t>Medium business</t>
  </si>
  <si>
    <t>Mediana empresa</t>
  </si>
  <si>
    <t>Grossunternehmen</t>
  </si>
  <si>
    <t>Grande impresa</t>
  </si>
  <si>
    <t>Large business</t>
  </si>
  <si>
    <t>Gran empresa</t>
  </si>
  <si>
    <t xml:space="preserve">In diesem Tabellenblatt wird die Gemeinwohlbilanz berechnet. </t>
  </si>
  <si>
    <t>In questo foglio viene calcolato il punteggio del bilancio del bene comune.</t>
  </si>
  <si>
    <t>Introduzca descripción de la tabla: en esta hoja se calcula la puntuación del balance del Bien Común.</t>
  </si>
  <si>
    <t>Skalenwert eingeben: Wert muss im Bereich von 0 bis 10 liegen.</t>
  </si>
  <si>
    <t xml:space="preserve">Inserisca un valore di scala da 0 a 10 </t>
  </si>
  <si>
    <t>Introduzca puntuación. El valor debe encontrarse entre 0 y 10.</t>
  </si>
  <si>
    <t>Negativpunkte eingeben: Werte müssen im Bereich von -200 bis 0 liegen.</t>
  </si>
  <si>
    <t xml:space="preserve">Inserisca un punteggio negativo da 0 a -200 </t>
  </si>
  <si>
    <t>Introduzca puntuación negativa. El valor debe encontrarse entre -200 y 0.</t>
  </si>
  <si>
    <t>globaler Durchschnitt</t>
  </si>
  <si>
    <t>media globale</t>
  </si>
  <si>
    <t>Media global</t>
  </si>
  <si>
    <t>Bitte auswählen</t>
  </si>
  <si>
    <t>Seleccione el país</t>
  </si>
  <si>
    <t>Afrika</t>
  </si>
  <si>
    <t>África</t>
  </si>
  <si>
    <t>Nord-Afrika und Mittlere Osten</t>
  </si>
  <si>
    <t>Nord-Africa e Medio Oriente</t>
  </si>
  <si>
    <t>Norte de África y Oriente Medio</t>
  </si>
  <si>
    <t>Latein-Amerika</t>
  </si>
  <si>
    <t>Latino-America</t>
  </si>
  <si>
    <t>Latinoamérica</t>
  </si>
  <si>
    <t>Nord-Amerika &amp; Ozeanien</t>
  </si>
  <si>
    <t>Nord-America e Ozeania</t>
  </si>
  <si>
    <t>Norteamérica y Oceanía</t>
  </si>
  <si>
    <t>Asien</t>
  </si>
  <si>
    <t>Europa</t>
  </si>
  <si>
    <t>.aw</t>
  </si>
  <si>
    <t>AW</t>
  </si>
  <si>
    <t xml:space="preserve">Aruba </t>
  </si>
  <si>
    <t>.af</t>
  </si>
  <si>
    <t>AF</t>
  </si>
  <si>
    <t xml:space="preserve">Afghanistan </t>
  </si>
  <si>
    <t>Afganistán</t>
  </si>
  <si>
    <t>.ao</t>
  </si>
  <si>
    <t>AO</t>
  </si>
  <si>
    <t xml:space="preserve">Angola </t>
  </si>
  <si>
    <t>.al</t>
  </si>
  <si>
    <t>AL</t>
  </si>
  <si>
    <t>Albanien</t>
  </si>
  <si>
    <t xml:space="preserve">Albania </t>
  </si>
  <si>
    <t>Albanie</t>
  </si>
  <si>
    <t>.ad</t>
  </si>
  <si>
    <t>AD</t>
  </si>
  <si>
    <t xml:space="preserve">Andorra </t>
  </si>
  <si>
    <t>Andorre</t>
  </si>
  <si>
    <t>.ae</t>
  </si>
  <si>
    <t>AE</t>
  </si>
  <si>
    <t>Vereinigte Arabische Emirate</t>
  </si>
  <si>
    <t xml:space="preserve">Emirati Arabi Uniti </t>
  </si>
  <si>
    <t xml:space="preserve">United Arab Emirates </t>
  </si>
  <si>
    <t>Emiratos Árabes Unidos</t>
  </si>
  <si>
    <t>Émirats Arabes Unis</t>
  </si>
  <si>
    <t>.ar</t>
  </si>
  <si>
    <t>AR</t>
  </si>
  <si>
    <t>Argentinien</t>
  </si>
  <si>
    <t xml:space="preserve">Argentina </t>
  </si>
  <si>
    <t>Argentine</t>
  </si>
  <si>
    <t>.am</t>
  </si>
  <si>
    <t>AM</t>
  </si>
  <si>
    <t>Armenien</t>
  </si>
  <si>
    <t xml:space="preserve">Armenia </t>
  </si>
  <si>
    <t>Arménie</t>
  </si>
  <si>
    <t>.as</t>
  </si>
  <si>
    <t>AS</t>
  </si>
  <si>
    <t>Amerikanisch-Samoa</t>
  </si>
  <si>
    <t xml:space="preserve">Samoa americane </t>
  </si>
  <si>
    <t xml:space="preserve">American Samoa </t>
  </si>
  <si>
    <t>Samoa Americana</t>
  </si>
  <si>
    <t>Samoa américaines</t>
  </si>
  <si>
    <t>.ag</t>
  </si>
  <si>
    <t>AG</t>
  </si>
  <si>
    <t>Antigua und Barbuda</t>
  </si>
  <si>
    <t xml:space="preserve">Antigua e Barbuda </t>
  </si>
  <si>
    <t xml:space="preserve">Antigua and Barbuda </t>
  </si>
  <si>
    <t>Antigua y Barbuda</t>
  </si>
  <si>
    <t>Antigua-et-Barbuda</t>
  </si>
  <si>
    <t>.au</t>
  </si>
  <si>
    <t>AU</t>
  </si>
  <si>
    <t>Australien</t>
  </si>
  <si>
    <t xml:space="preserve">Australia </t>
  </si>
  <si>
    <t>Australie</t>
  </si>
  <si>
    <t>.at</t>
  </si>
  <si>
    <t>AT</t>
  </si>
  <si>
    <t>Österreich</t>
  </si>
  <si>
    <t xml:space="preserve">Austria </t>
  </si>
  <si>
    <t>Autriche</t>
  </si>
  <si>
    <t>.az</t>
  </si>
  <si>
    <t>AZ</t>
  </si>
  <si>
    <t>Aserbaidschan</t>
  </si>
  <si>
    <t xml:space="preserve">Azerbaigian </t>
  </si>
  <si>
    <t xml:space="preserve">Azerbaijan </t>
  </si>
  <si>
    <t>Azerbaiyán</t>
  </si>
  <si>
    <t>Azerbaïdjan</t>
  </si>
  <si>
    <t>.bi</t>
  </si>
  <si>
    <t>BI</t>
  </si>
  <si>
    <t xml:space="preserve">Burundi </t>
  </si>
  <si>
    <t>.be</t>
  </si>
  <si>
    <t>BE</t>
  </si>
  <si>
    <t>Belgien</t>
  </si>
  <si>
    <t xml:space="preserve">Belgio </t>
  </si>
  <si>
    <t xml:space="preserve">Belgium </t>
  </si>
  <si>
    <t>Bélgica</t>
  </si>
  <si>
    <t>Belgique</t>
  </si>
  <si>
    <t>.bj</t>
  </si>
  <si>
    <t>BJ</t>
  </si>
  <si>
    <t xml:space="preserve">Benin </t>
  </si>
  <si>
    <t>Benín</t>
  </si>
  <si>
    <t>Bénin</t>
  </si>
  <si>
    <t>.bf</t>
  </si>
  <si>
    <t>BF</t>
  </si>
  <si>
    <t xml:space="preserve">Burkina Faso </t>
  </si>
  <si>
    <t>.bd</t>
  </si>
  <si>
    <t>BD</t>
  </si>
  <si>
    <t>Bangladesch</t>
  </si>
  <si>
    <t xml:space="preserve">Bangladesh </t>
  </si>
  <si>
    <t>Bangladés</t>
  </si>
  <si>
    <t>.bg</t>
  </si>
  <si>
    <t>BG</t>
  </si>
  <si>
    <t>Bulgarien</t>
  </si>
  <si>
    <t xml:space="preserve">Bulgaria </t>
  </si>
  <si>
    <t>Bulgarie</t>
  </si>
  <si>
    <t>.bh</t>
  </si>
  <si>
    <t>BH</t>
  </si>
  <si>
    <t xml:space="preserve">Bahrain </t>
  </si>
  <si>
    <t>Baréin</t>
  </si>
  <si>
    <t>Bahreïn</t>
  </si>
  <si>
    <t>.bs</t>
  </si>
  <si>
    <t>BS</t>
  </si>
  <si>
    <t>Bahamas</t>
  </si>
  <si>
    <t xml:space="preserve">Bahamas </t>
  </si>
  <si>
    <t>.ba</t>
  </si>
  <si>
    <t>BA</t>
  </si>
  <si>
    <t>Bosnien und Herzegowina</t>
  </si>
  <si>
    <t xml:space="preserve">Bosnia ed Erzegovina </t>
  </si>
  <si>
    <t xml:space="preserve">Bosnia and Herzegovina </t>
  </si>
  <si>
    <t>Bosnia y Herzegovina</t>
  </si>
  <si>
    <t>Bosnie-Herzégovine</t>
  </si>
  <si>
    <t>.by</t>
  </si>
  <si>
    <t>BY</t>
  </si>
  <si>
    <t xml:space="preserve">Bielorussia </t>
  </si>
  <si>
    <t xml:space="preserve">Belarus </t>
  </si>
  <si>
    <t>Bielorrusia</t>
  </si>
  <si>
    <t>Biélorussie</t>
  </si>
  <si>
    <t>.bz</t>
  </si>
  <si>
    <t>BZ</t>
  </si>
  <si>
    <t xml:space="preserve">Belize </t>
  </si>
  <si>
    <t>Belice</t>
  </si>
  <si>
    <t>.bm</t>
  </si>
  <si>
    <t>BM</t>
  </si>
  <si>
    <t xml:space="preserve">Bermuda </t>
  </si>
  <si>
    <t>Bermudas</t>
  </si>
  <si>
    <t>Bermudes</t>
  </si>
  <si>
    <t>.bo</t>
  </si>
  <si>
    <t>BO</t>
  </si>
  <si>
    <t>Bolivien</t>
  </si>
  <si>
    <t xml:space="preserve">Bolivia </t>
  </si>
  <si>
    <t xml:space="preserve">Bolivia, Plurinational State of </t>
  </si>
  <si>
    <t>Bolivie</t>
  </si>
  <si>
    <t>.br</t>
  </si>
  <si>
    <t>BR</t>
  </si>
  <si>
    <t>Brasilien</t>
  </si>
  <si>
    <t xml:space="preserve">Brasile </t>
  </si>
  <si>
    <t xml:space="preserve">Brazil </t>
  </si>
  <si>
    <t>Brasil</t>
  </si>
  <si>
    <t>Brésil</t>
  </si>
  <si>
    <t>.bb</t>
  </si>
  <si>
    <t>BB</t>
  </si>
  <si>
    <t xml:space="preserve">Barbados </t>
  </si>
  <si>
    <t>Barbades</t>
  </si>
  <si>
    <t>.bn</t>
  </si>
  <si>
    <t>BN</t>
  </si>
  <si>
    <t xml:space="preserve">Brunei </t>
  </si>
  <si>
    <t xml:space="preserve">Brunei Darussalam </t>
  </si>
  <si>
    <t>Brunéi</t>
  </si>
  <si>
    <t>Brunei</t>
  </si>
  <si>
    <t>.bt</t>
  </si>
  <si>
    <t>BT</t>
  </si>
  <si>
    <t xml:space="preserve">Bhutan </t>
  </si>
  <si>
    <t>Bután</t>
  </si>
  <si>
    <t>Bhoutan</t>
  </si>
  <si>
    <t>.bw</t>
  </si>
  <si>
    <t>BW</t>
  </si>
  <si>
    <t xml:space="preserve">Botswana </t>
  </si>
  <si>
    <t>Botsuana</t>
  </si>
  <si>
    <t>.cf</t>
  </si>
  <si>
    <t>CF</t>
  </si>
  <si>
    <t>Zentralafrikanische Republik</t>
  </si>
  <si>
    <t xml:space="preserve">Repubblica Centrafricana </t>
  </si>
  <si>
    <t xml:space="preserve">Central African Republic </t>
  </si>
  <si>
    <t>República Centroafricana</t>
  </si>
  <si>
    <t>République centrafricaine</t>
  </si>
  <si>
    <t>.ca</t>
  </si>
  <si>
    <t>CA</t>
  </si>
  <si>
    <t>Kanada</t>
  </si>
  <si>
    <t xml:space="preserve">Canada </t>
  </si>
  <si>
    <t>Canadá</t>
  </si>
  <si>
    <t>.ch</t>
  </si>
  <si>
    <t>CH</t>
  </si>
  <si>
    <t>Schweiz (Confoederatio Helvetica)</t>
  </si>
  <si>
    <t xml:space="preserve">della Svizzera Svizzera </t>
  </si>
  <si>
    <t xml:space="preserve">Switzerland </t>
  </si>
  <si>
    <t>Suiza</t>
  </si>
  <si>
    <t>Suisse</t>
  </si>
  <si>
    <t>.cl</t>
  </si>
  <si>
    <t>CL</t>
  </si>
  <si>
    <t xml:space="preserve">Cile </t>
  </si>
  <si>
    <t xml:space="preserve">Chile </t>
  </si>
  <si>
    <t>Chili</t>
  </si>
  <si>
    <t>.cn</t>
  </si>
  <si>
    <t>CN</t>
  </si>
  <si>
    <t>China, Volksrepublik</t>
  </si>
  <si>
    <t xml:space="preserve">Cina </t>
  </si>
  <si>
    <t xml:space="preserve">China </t>
  </si>
  <si>
    <t>Chine</t>
  </si>
  <si>
    <t>.ci</t>
  </si>
  <si>
    <t>CI</t>
  </si>
  <si>
    <t>Côte d’Ivoire (Elfenbeinküste)</t>
  </si>
  <si>
    <t xml:space="preserve">Costa d'Avorio </t>
  </si>
  <si>
    <t xml:space="preserve">Côte d'Ivoire </t>
  </si>
  <si>
    <t>Costa de Marfil</t>
  </si>
  <si>
    <t>Côte-d'Ivoire</t>
  </si>
  <si>
    <t>.cm</t>
  </si>
  <si>
    <t>CM</t>
  </si>
  <si>
    <t>Kamerun</t>
  </si>
  <si>
    <t xml:space="preserve">Camerun </t>
  </si>
  <si>
    <t xml:space="preserve">Cameroon </t>
  </si>
  <si>
    <t>Camerún</t>
  </si>
  <si>
    <t>Cameroun</t>
  </si>
  <si>
    <t>.cd</t>
  </si>
  <si>
    <t>CD</t>
  </si>
  <si>
    <t>Kongo, Demokratische Republik (ehem. Zaire)</t>
  </si>
  <si>
    <t xml:space="preserve">Repubblica Democratica del Congo </t>
  </si>
  <si>
    <t xml:space="preserve">Congo, the Democratic Republic of the </t>
  </si>
  <si>
    <t>Rep. Dem. del Congo</t>
  </si>
  <si>
    <t>République démocratique du Congo</t>
  </si>
  <si>
    <t>.cg</t>
  </si>
  <si>
    <t>CG</t>
  </si>
  <si>
    <t>Republik Kongo</t>
  </si>
  <si>
    <t xml:space="preserve">Repubblica del Congo </t>
  </si>
  <si>
    <t xml:space="preserve">Congo </t>
  </si>
  <si>
    <t>República del Congo</t>
  </si>
  <si>
    <t>République du Congo</t>
  </si>
  <si>
    <t>.co</t>
  </si>
  <si>
    <t>CO</t>
  </si>
  <si>
    <t>Kolumbien</t>
  </si>
  <si>
    <t xml:space="preserve">Colombia </t>
  </si>
  <si>
    <t>Colombie</t>
  </si>
  <si>
    <t>.km</t>
  </si>
  <si>
    <t>KM</t>
  </si>
  <si>
    <t>Komoren</t>
  </si>
  <si>
    <t xml:space="preserve">Comore </t>
  </si>
  <si>
    <t xml:space="preserve">Comoros </t>
  </si>
  <si>
    <t>Comoras</t>
  </si>
  <si>
    <t>Comores</t>
  </si>
  <si>
    <t>.cv</t>
  </si>
  <si>
    <t>CV</t>
  </si>
  <si>
    <t>Kap Verde</t>
  </si>
  <si>
    <t xml:space="preserve">Capo Verde </t>
  </si>
  <si>
    <t xml:space="preserve">Cape Verde </t>
  </si>
  <si>
    <t>Cap vert</t>
  </si>
  <si>
    <t>.cr</t>
  </si>
  <si>
    <t>CR</t>
  </si>
  <si>
    <t xml:space="preserve">Costa Rica </t>
  </si>
  <si>
    <t>.cu</t>
  </si>
  <si>
    <t>CU</t>
  </si>
  <si>
    <t>Kuba</t>
  </si>
  <si>
    <t xml:space="preserve">Cuba </t>
  </si>
  <si>
    <t>.cw</t>
  </si>
  <si>
    <t>CW</t>
  </si>
  <si>
    <t>Curaçao</t>
  </si>
  <si>
    <t xml:space="preserve">Curaçao </t>
  </si>
  <si>
    <t>Curazao</t>
  </si>
  <si>
    <t>.ky</t>
  </si>
  <si>
    <t>KY</t>
  </si>
  <si>
    <t>Kaimaninseln</t>
  </si>
  <si>
    <t xml:space="preserve">Isole Cayman </t>
  </si>
  <si>
    <t xml:space="preserve">Cayman Islands </t>
  </si>
  <si>
    <t>Islas Caimán</t>
  </si>
  <si>
    <t>Îles Caïmans</t>
  </si>
  <si>
    <t>.cy</t>
  </si>
  <si>
    <t>CY</t>
  </si>
  <si>
    <t>Zypern</t>
  </si>
  <si>
    <t xml:space="preserve">Cipro </t>
  </si>
  <si>
    <t xml:space="preserve">Cyprus </t>
  </si>
  <si>
    <t>Chipre</t>
  </si>
  <si>
    <t>Chypre</t>
  </si>
  <si>
    <t>.cz</t>
  </si>
  <si>
    <t>CZ</t>
  </si>
  <si>
    <t>Tschechische Republik</t>
  </si>
  <si>
    <t xml:space="preserve">Repubblica Ceca </t>
  </si>
  <si>
    <t xml:space="preserve">Czech Republic </t>
  </si>
  <si>
    <t>República Checa</t>
  </si>
  <si>
    <t>République Tchèque</t>
  </si>
  <si>
    <t>.de</t>
  </si>
  <si>
    <t>DE</t>
  </si>
  <si>
    <t>Deutschland</t>
  </si>
  <si>
    <t xml:space="preserve">Germania </t>
  </si>
  <si>
    <t xml:space="preserve">Germany </t>
  </si>
  <si>
    <t>Alemania</t>
  </si>
  <si>
    <t>Allemagne</t>
  </si>
  <si>
    <t>.dj</t>
  </si>
  <si>
    <t>DJ</t>
  </si>
  <si>
    <t>Dschibuti</t>
  </si>
  <si>
    <t xml:space="preserve">Gibuti </t>
  </si>
  <si>
    <t xml:space="preserve">Djibouti </t>
  </si>
  <si>
    <t>Yibuti</t>
  </si>
  <si>
    <t>.dm</t>
  </si>
  <si>
    <t>DM</t>
  </si>
  <si>
    <t xml:space="preserve">Dominica </t>
  </si>
  <si>
    <t>Dominique</t>
  </si>
  <si>
    <t>.dk</t>
  </si>
  <si>
    <t>DK</t>
  </si>
  <si>
    <t>Dänemark</t>
  </si>
  <si>
    <t xml:space="preserve">Danimarca </t>
  </si>
  <si>
    <t xml:space="preserve">Denmark </t>
  </si>
  <si>
    <t>Dinamarca</t>
  </si>
  <si>
    <t>Danemark</t>
  </si>
  <si>
    <t>.do</t>
  </si>
  <si>
    <t>DO</t>
  </si>
  <si>
    <t>Dominikanische Republik</t>
  </si>
  <si>
    <t xml:space="preserve">Repubblica Dominicana </t>
  </si>
  <si>
    <t xml:space="preserve">Dominican Republic </t>
  </si>
  <si>
    <t>República Dominicana</t>
  </si>
  <si>
    <t>République Dominicaine</t>
  </si>
  <si>
    <t>.dz</t>
  </si>
  <si>
    <t>DZ</t>
  </si>
  <si>
    <t>Algerien</t>
  </si>
  <si>
    <t xml:space="preserve">Algeria </t>
  </si>
  <si>
    <t>Argelia</t>
  </si>
  <si>
    <t>Algérie</t>
  </si>
  <si>
    <t>.ec</t>
  </si>
  <si>
    <t>EC</t>
  </si>
  <si>
    <t xml:space="preserve">Ecuador </t>
  </si>
  <si>
    <t>Équateur</t>
  </si>
  <si>
    <t>.eg</t>
  </si>
  <si>
    <t>EG</t>
  </si>
  <si>
    <t>Ägypten</t>
  </si>
  <si>
    <t xml:space="preserve">Egitto </t>
  </si>
  <si>
    <t xml:space="preserve">Egypt </t>
  </si>
  <si>
    <t>Egipto</t>
  </si>
  <si>
    <t>Égypte</t>
  </si>
  <si>
    <t>.er</t>
  </si>
  <si>
    <t>ER</t>
  </si>
  <si>
    <t xml:space="preserve">Eritrea </t>
  </si>
  <si>
    <t>Érythrée</t>
  </si>
  <si>
    <t>.es</t>
  </si>
  <si>
    <t>ES</t>
  </si>
  <si>
    <t>Spanien</t>
  </si>
  <si>
    <t xml:space="preserve">Spagna </t>
  </si>
  <si>
    <t xml:space="preserve">Spain </t>
  </si>
  <si>
    <t>España</t>
  </si>
  <si>
    <t>Espagne</t>
  </si>
  <si>
    <t>.ee</t>
  </si>
  <si>
    <t>EE</t>
  </si>
  <si>
    <t>Estland</t>
  </si>
  <si>
    <t xml:space="preserve">Estonia </t>
  </si>
  <si>
    <t>Estonie</t>
  </si>
  <si>
    <t>.et</t>
  </si>
  <si>
    <t>ET</t>
  </si>
  <si>
    <t>Äthiopien</t>
  </si>
  <si>
    <t xml:space="preserve">Etiopia </t>
  </si>
  <si>
    <t xml:space="preserve">Ethiopia </t>
  </si>
  <si>
    <t>Etiopía</t>
  </si>
  <si>
    <t>Éthiopie</t>
  </si>
  <si>
    <t>.fi</t>
  </si>
  <si>
    <t>FI</t>
  </si>
  <si>
    <t>Finnland</t>
  </si>
  <si>
    <t xml:space="preserve">Finlandia </t>
  </si>
  <si>
    <t xml:space="preserve">Finland </t>
  </si>
  <si>
    <t>Finlandia</t>
  </si>
  <si>
    <t>Finlande</t>
  </si>
  <si>
    <t>.fj</t>
  </si>
  <si>
    <t>FJ</t>
  </si>
  <si>
    <t>Fidschi</t>
  </si>
  <si>
    <t xml:space="preserve">Figi </t>
  </si>
  <si>
    <t xml:space="preserve">Fiji </t>
  </si>
  <si>
    <t>Fiyi</t>
  </si>
  <si>
    <t>.fr</t>
  </si>
  <si>
    <t>FR</t>
  </si>
  <si>
    <t>Frankreich</t>
  </si>
  <si>
    <t xml:space="preserve">Francia </t>
  </si>
  <si>
    <t xml:space="preserve">France </t>
  </si>
  <si>
    <t>Francia</t>
  </si>
  <si>
    <t>.fo</t>
  </si>
  <si>
    <t>FO</t>
  </si>
  <si>
    <t>Färöer</t>
  </si>
  <si>
    <t xml:space="preserve">Isole Fær Øer </t>
  </si>
  <si>
    <t xml:space="preserve">Faroe Islands </t>
  </si>
  <si>
    <t>Islas Feroe</t>
  </si>
  <si>
    <t>Îles Féroé</t>
  </si>
  <si>
    <t>.fm</t>
  </si>
  <si>
    <t>FM</t>
  </si>
  <si>
    <t>Mikronesien</t>
  </si>
  <si>
    <t xml:space="preserve">Micronesia </t>
  </si>
  <si>
    <t xml:space="preserve">Micronesia, Federated States of </t>
  </si>
  <si>
    <t>Micronesia</t>
  </si>
  <si>
    <t>Micronésie</t>
  </si>
  <si>
    <t>.ga</t>
  </si>
  <si>
    <t>GA</t>
  </si>
  <si>
    <t>Gabun</t>
  </si>
  <si>
    <t xml:space="preserve">Gabon </t>
  </si>
  <si>
    <t>Gabón</t>
  </si>
  <si>
    <t>.uk</t>
  </si>
  <si>
    <t>GB</t>
  </si>
  <si>
    <t>Vereinigtes Königreich Großbritannien und Nordirland</t>
  </si>
  <si>
    <t xml:space="preserve">Regno Unito </t>
  </si>
  <si>
    <t xml:space="preserve">United Kingdom </t>
  </si>
  <si>
    <t>Reino Unido</t>
  </si>
  <si>
    <t>Royaume-Uni</t>
  </si>
  <si>
    <t>.ge</t>
  </si>
  <si>
    <t>GE</t>
  </si>
  <si>
    <t>Georgien</t>
  </si>
  <si>
    <t xml:space="preserve">Georgia </t>
  </si>
  <si>
    <t>État de Géorgie</t>
  </si>
  <si>
    <t>.gh</t>
  </si>
  <si>
    <t>GH</t>
  </si>
  <si>
    <t xml:space="preserve">Ghana </t>
  </si>
  <si>
    <t>.gi</t>
  </si>
  <si>
    <t>GI</t>
  </si>
  <si>
    <t xml:space="preserve">Gibilterra </t>
  </si>
  <si>
    <t xml:space="preserve">Gibraltar </t>
  </si>
  <si>
    <t>Gribraltar</t>
  </si>
  <si>
    <t>.gn</t>
  </si>
  <si>
    <t>GN</t>
  </si>
  <si>
    <t xml:space="preserve">Guinea </t>
  </si>
  <si>
    <t>Guinée</t>
  </si>
  <si>
    <t>.gm</t>
  </si>
  <si>
    <t>GM</t>
  </si>
  <si>
    <t>Gambia</t>
  </si>
  <si>
    <t xml:space="preserve">Gambia </t>
  </si>
  <si>
    <t>Gambie</t>
  </si>
  <si>
    <t>.gw</t>
  </si>
  <si>
    <t>GW</t>
  </si>
  <si>
    <t xml:space="preserve">Guinea-Bissau </t>
  </si>
  <si>
    <t>Guinea-Bisáu</t>
  </si>
  <si>
    <t>Guinée-Bissau</t>
  </si>
  <si>
    <t>.gq</t>
  </si>
  <si>
    <t>GQ</t>
  </si>
  <si>
    <t>Äquatorialguinea</t>
  </si>
  <si>
    <t xml:space="preserve">Guinea Equatoriale </t>
  </si>
  <si>
    <t xml:space="preserve">Equatorial Guinea </t>
  </si>
  <si>
    <t>Guinea Ecuatorial</t>
  </si>
  <si>
    <t>Guinée équatoriale</t>
  </si>
  <si>
    <t>.gr</t>
  </si>
  <si>
    <t>GR</t>
  </si>
  <si>
    <t>Griechenland</t>
  </si>
  <si>
    <t xml:space="preserve">Grecia </t>
  </si>
  <si>
    <t xml:space="preserve">Greece </t>
  </si>
  <si>
    <t>Grecia</t>
  </si>
  <si>
    <t>Grèce</t>
  </si>
  <si>
    <t>.gd</t>
  </si>
  <si>
    <t>GD</t>
  </si>
  <si>
    <t xml:space="preserve">Grenada </t>
  </si>
  <si>
    <t>Granada</t>
  </si>
  <si>
    <t>Grenade</t>
  </si>
  <si>
    <t>.gl</t>
  </si>
  <si>
    <t>GL</t>
  </si>
  <si>
    <t>Grönland</t>
  </si>
  <si>
    <t xml:space="preserve">Groenlandia </t>
  </si>
  <si>
    <t xml:space="preserve">Greenland </t>
  </si>
  <si>
    <t>Groenlandia</t>
  </si>
  <si>
    <t>Groenland</t>
  </si>
  <si>
    <t>.gt</t>
  </si>
  <si>
    <t>GT</t>
  </si>
  <si>
    <t xml:space="preserve">Guatemala </t>
  </si>
  <si>
    <t>Guatémala</t>
  </si>
  <si>
    <t>.gu</t>
  </si>
  <si>
    <t>GU</t>
  </si>
  <si>
    <t xml:space="preserve">Guam </t>
  </si>
  <si>
    <t>.gy</t>
  </si>
  <si>
    <t>GY</t>
  </si>
  <si>
    <t xml:space="preserve">Guyana </t>
  </si>
  <si>
    <t>Guyane</t>
  </si>
  <si>
    <t>.hk</t>
  </si>
  <si>
    <t>HK</t>
  </si>
  <si>
    <t>Hongkong</t>
  </si>
  <si>
    <t xml:space="preserve">Hong Kong </t>
  </si>
  <si>
    <t>Hong Kong</t>
  </si>
  <si>
    <t>.hn</t>
  </si>
  <si>
    <t>HN</t>
  </si>
  <si>
    <t xml:space="preserve">Honduras </t>
  </si>
  <si>
    <t>.hr</t>
  </si>
  <si>
    <t>HR</t>
  </si>
  <si>
    <t>Kroatien</t>
  </si>
  <si>
    <t xml:space="preserve">Croazia </t>
  </si>
  <si>
    <t xml:space="preserve">Croatia </t>
  </si>
  <si>
    <t>Croacia</t>
  </si>
  <si>
    <t>Croatie</t>
  </si>
  <si>
    <t>.ht</t>
  </si>
  <si>
    <t>HT</t>
  </si>
  <si>
    <t xml:space="preserve">Haiti </t>
  </si>
  <si>
    <t>Haití</t>
  </si>
  <si>
    <t>Haïti</t>
  </si>
  <si>
    <t>.hu</t>
  </si>
  <si>
    <t>HU</t>
  </si>
  <si>
    <t>Ungarn</t>
  </si>
  <si>
    <t xml:space="preserve">Ungheria </t>
  </si>
  <si>
    <t xml:space="preserve">Hungary </t>
  </si>
  <si>
    <t>Hungría</t>
  </si>
  <si>
    <t>Hongrie</t>
  </si>
  <si>
    <t>.id</t>
  </si>
  <si>
    <t>ID</t>
  </si>
  <si>
    <t>Indonesien</t>
  </si>
  <si>
    <t xml:space="preserve">Indonesia </t>
  </si>
  <si>
    <t>Indonésie</t>
  </si>
  <si>
    <t>.im</t>
  </si>
  <si>
    <t>IM</t>
  </si>
  <si>
    <t>Insel Man</t>
  </si>
  <si>
    <t xml:space="preserve">Isola di Man </t>
  </si>
  <si>
    <t xml:space="preserve">Isle of Man </t>
  </si>
  <si>
    <t>Isla de Man</t>
  </si>
  <si>
    <t>Île de Man</t>
  </si>
  <si>
    <t>.in</t>
  </si>
  <si>
    <t>IN</t>
  </si>
  <si>
    <t>Indien</t>
  </si>
  <si>
    <t xml:space="preserve">India </t>
  </si>
  <si>
    <t>Inde</t>
  </si>
  <si>
    <t>.ie</t>
  </si>
  <si>
    <t>IE</t>
  </si>
  <si>
    <t>Irland</t>
  </si>
  <si>
    <t xml:space="preserve">Irlanda </t>
  </si>
  <si>
    <t xml:space="preserve">Ireland </t>
  </si>
  <si>
    <t>Irlanda</t>
  </si>
  <si>
    <t>Irlande</t>
  </si>
  <si>
    <t>.ir</t>
  </si>
  <si>
    <t>IR</t>
  </si>
  <si>
    <t>Iran, Islamische Republik</t>
  </si>
  <si>
    <t xml:space="preserve">Iran </t>
  </si>
  <si>
    <t xml:space="preserve">Iran, Islamic Republic of </t>
  </si>
  <si>
    <t>Irán</t>
  </si>
  <si>
    <t>Iran</t>
  </si>
  <si>
    <t>.iq</t>
  </si>
  <si>
    <t>IQ</t>
  </si>
  <si>
    <t>Irak</t>
  </si>
  <si>
    <t xml:space="preserve">Iraq </t>
  </si>
  <si>
    <t>.is</t>
  </si>
  <si>
    <t>IS</t>
  </si>
  <si>
    <t>Island</t>
  </si>
  <si>
    <t xml:space="preserve">Islanda </t>
  </si>
  <si>
    <t xml:space="preserve">Iceland </t>
  </si>
  <si>
    <t>Islandia</t>
  </si>
  <si>
    <t>Islande</t>
  </si>
  <si>
    <t>.il</t>
  </si>
  <si>
    <t>IL</t>
  </si>
  <si>
    <t xml:space="preserve">Israele </t>
  </si>
  <si>
    <t xml:space="preserve">Israel </t>
  </si>
  <si>
    <t>Israël</t>
  </si>
  <si>
    <t>.it</t>
  </si>
  <si>
    <t>IT</t>
  </si>
  <si>
    <t>Italien</t>
  </si>
  <si>
    <t xml:space="preserve">Italia </t>
  </si>
  <si>
    <t xml:space="preserve">Italy </t>
  </si>
  <si>
    <t>Italia</t>
  </si>
  <si>
    <t>Italie</t>
  </si>
  <si>
    <t>.jm</t>
  </si>
  <si>
    <t>JM</t>
  </si>
  <si>
    <t>Jamaika</t>
  </si>
  <si>
    <t xml:space="preserve">Giamaica </t>
  </si>
  <si>
    <t xml:space="preserve">Jamaica </t>
  </si>
  <si>
    <t>Jamaïque</t>
  </si>
  <si>
    <t>.jo</t>
  </si>
  <si>
    <t>JO</t>
  </si>
  <si>
    <t>Jordanien</t>
  </si>
  <si>
    <t xml:space="preserve">Giordania </t>
  </si>
  <si>
    <t xml:space="preserve">Jordan </t>
  </si>
  <si>
    <t>Jordania</t>
  </si>
  <si>
    <t>Jordanie</t>
  </si>
  <si>
    <t>.jp</t>
  </si>
  <si>
    <t>JP</t>
  </si>
  <si>
    <t xml:space="preserve">Giappone </t>
  </si>
  <si>
    <t xml:space="preserve">Japan </t>
  </si>
  <si>
    <t>Japón</t>
  </si>
  <si>
    <t>Japon</t>
  </si>
  <si>
    <t>.kz</t>
  </si>
  <si>
    <t>KZ</t>
  </si>
  <si>
    <t>Kasachstan</t>
  </si>
  <si>
    <t xml:space="preserve">Kazakistan </t>
  </si>
  <si>
    <t xml:space="preserve">Kazakhstan </t>
  </si>
  <si>
    <t>Kazajistán</t>
  </si>
  <si>
    <t>.ke</t>
  </si>
  <si>
    <t>KE</t>
  </si>
  <si>
    <t>Kenia</t>
  </si>
  <si>
    <t xml:space="preserve">Kenya </t>
  </si>
  <si>
    <t>.kg</t>
  </si>
  <si>
    <t>KG</t>
  </si>
  <si>
    <t>Kirgisistan</t>
  </si>
  <si>
    <t xml:space="preserve">Kirghizistan </t>
  </si>
  <si>
    <t xml:space="preserve">Kyrgyzstan </t>
  </si>
  <si>
    <t>Kirguistán</t>
  </si>
  <si>
    <t>Kirghizistan</t>
  </si>
  <si>
    <t>.kh</t>
  </si>
  <si>
    <t>KH</t>
  </si>
  <si>
    <t>Kambodscha</t>
  </si>
  <si>
    <t xml:space="preserve">Cambogia </t>
  </si>
  <si>
    <t xml:space="preserve">Cambodia </t>
  </si>
  <si>
    <t>Camboya</t>
  </si>
  <si>
    <t>Cambodge</t>
  </si>
  <si>
    <t>.ki</t>
  </si>
  <si>
    <t>KI</t>
  </si>
  <si>
    <t xml:space="preserve">Kiribati </t>
  </si>
  <si>
    <t>.kn</t>
  </si>
  <si>
    <t>KN</t>
  </si>
  <si>
    <t>St. Kitts und Nevis</t>
  </si>
  <si>
    <t xml:space="preserve">Saint Kitts e Nevis </t>
  </si>
  <si>
    <t xml:space="preserve">Saint Kitts and Nevis </t>
  </si>
  <si>
    <t>San Cristóbal y Nieves</t>
  </si>
  <si>
    <t>Saint-Kitts-et-Nevis</t>
  </si>
  <si>
    <t>.kr</t>
  </si>
  <si>
    <t>KR</t>
  </si>
  <si>
    <t>Korea, Republik (Südkorea)</t>
  </si>
  <si>
    <t xml:space="preserve">Corea del Sud </t>
  </si>
  <si>
    <t xml:space="preserve">Korea, Republic of </t>
  </si>
  <si>
    <t>Corea del Sur</t>
  </si>
  <si>
    <t>Corée du Sud</t>
  </si>
  <si>
    <t>.kw</t>
  </si>
  <si>
    <t>KW</t>
  </si>
  <si>
    <t xml:space="preserve">Kuwait </t>
  </si>
  <si>
    <t>Koweït</t>
  </si>
  <si>
    <t>.la</t>
  </si>
  <si>
    <t>LA</t>
  </si>
  <si>
    <t>Laos, Demokratische Volksrepublik</t>
  </si>
  <si>
    <t xml:space="preserve">Laos </t>
  </si>
  <si>
    <t xml:space="preserve">Lao People's Democratic Republic </t>
  </si>
  <si>
    <t>Laos</t>
  </si>
  <si>
    <t>.lb</t>
  </si>
  <si>
    <t>LB</t>
  </si>
  <si>
    <t>Libanon</t>
  </si>
  <si>
    <t xml:space="preserve">Libano </t>
  </si>
  <si>
    <t xml:space="preserve">Lebanon </t>
  </si>
  <si>
    <t>Líbano</t>
  </si>
  <si>
    <t>Liban</t>
  </si>
  <si>
    <t>.lr</t>
  </si>
  <si>
    <t>LR</t>
  </si>
  <si>
    <t xml:space="preserve">Liberia </t>
  </si>
  <si>
    <t>Libéria</t>
  </si>
  <si>
    <t>.ly</t>
  </si>
  <si>
    <t>LY</t>
  </si>
  <si>
    <t>Libyen</t>
  </si>
  <si>
    <t xml:space="preserve">Libia </t>
  </si>
  <si>
    <t xml:space="preserve">Libya </t>
  </si>
  <si>
    <t>Libia</t>
  </si>
  <si>
    <t>Libye</t>
  </si>
  <si>
    <t>.lc</t>
  </si>
  <si>
    <t>LC</t>
  </si>
  <si>
    <t xml:space="preserve">Santa Lucia </t>
  </si>
  <si>
    <t xml:space="preserve">Saint Lucia </t>
  </si>
  <si>
    <t>Santa Lucía</t>
  </si>
  <si>
    <t>Sainte-Lucie</t>
  </si>
  <si>
    <t>.li</t>
  </si>
  <si>
    <t>LI</t>
  </si>
  <si>
    <t xml:space="preserve">Liechtenstein </t>
  </si>
  <si>
    <t>.lk</t>
  </si>
  <si>
    <t>LK</t>
  </si>
  <si>
    <t xml:space="preserve">Sri Lanka </t>
  </si>
  <si>
    <t>.ls</t>
  </si>
  <si>
    <t>LS</t>
  </si>
  <si>
    <t xml:space="preserve">Lesotho </t>
  </si>
  <si>
    <t>Lesoto</t>
  </si>
  <si>
    <t>.lt</t>
  </si>
  <si>
    <t>LT</t>
  </si>
  <si>
    <t>Litauen</t>
  </si>
  <si>
    <t xml:space="preserve">Lituania </t>
  </si>
  <si>
    <t xml:space="preserve">Lithuania </t>
  </si>
  <si>
    <t>Lituania</t>
  </si>
  <si>
    <t>Lituanie</t>
  </si>
  <si>
    <t>.lu</t>
  </si>
  <si>
    <t>LU</t>
  </si>
  <si>
    <t>Luxemburg</t>
  </si>
  <si>
    <t xml:space="preserve">Lussemburgo </t>
  </si>
  <si>
    <t xml:space="preserve">Luxembourg </t>
  </si>
  <si>
    <t>Luxemburgo</t>
  </si>
  <si>
    <t>.lv</t>
  </si>
  <si>
    <t>LV</t>
  </si>
  <si>
    <t>Lettland</t>
  </si>
  <si>
    <t xml:space="preserve">Lettonia </t>
  </si>
  <si>
    <t xml:space="preserve">Latvia </t>
  </si>
  <si>
    <t>Letonia</t>
  </si>
  <si>
    <t>Lettonie</t>
  </si>
  <si>
    <t>.mo</t>
  </si>
  <si>
    <t>MO</t>
  </si>
  <si>
    <t>Macao</t>
  </si>
  <si>
    <t xml:space="preserve">Macao </t>
  </si>
  <si>
    <t>.gp</t>
  </si>
  <si>
    <t>MF</t>
  </si>
  <si>
    <t>Saint-Martin (franz. Teil)</t>
  </si>
  <si>
    <t xml:space="preserve">Saint-Martin </t>
  </si>
  <si>
    <t xml:space="preserve">Saint Martin (French part) </t>
  </si>
  <si>
    <t>San Martín</t>
  </si>
  <si>
    <t>Saint-Martin</t>
  </si>
  <si>
    <t>.ma</t>
  </si>
  <si>
    <t>MA</t>
  </si>
  <si>
    <t>Marokko</t>
  </si>
  <si>
    <t xml:space="preserve">Marocco </t>
  </si>
  <si>
    <t xml:space="preserve">Morocco </t>
  </si>
  <si>
    <t>Marruecos</t>
  </si>
  <si>
    <t>Maroc</t>
  </si>
  <si>
    <t>.mc</t>
  </si>
  <si>
    <t>MC</t>
  </si>
  <si>
    <t xml:space="preserve">di Monaco Monaco </t>
  </si>
  <si>
    <t xml:space="preserve">Monaco </t>
  </si>
  <si>
    <t>Mónaco</t>
  </si>
  <si>
    <t>.md</t>
  </si>
  <si>
    <t>MD</t>
  </si>
  <si>
    <t>Moldawien (Republik Moldau)</t>
  </si>
  <si>
    <t xml:space="preserve">Moldavia </t>
  </si>
  <si>
    <t xml:space="preserve">Moldova, Republic of </t>
  </si>
  <si>
    <t>Moldavia</t>
  </si>
  <si>
    <t>Moldavie</t>
  </si>
  <si>
    <t>.mg</t>
  </si>
  <si>
    <t>MG</t>
  </si>
  <si>
    <t>Madagaskar</t>
  </si>
  <si>
    <t xml:space="preserve">Madagascar </t>
  </si>
  <si>
    <t>.mv</t>
  </si>
  <si>
    <t>MV</t>
  </si>
  <si>
    <t>Malediven</t>
  </si>
  <si>
    <t xml:space="preserve">Maldive </t>
  </si>
  <si>
    <t xml:space="preserve">Maldives </t>
  </si>
  <si>
    <t>Maldivas</t>
  </si>
  <si>
    <t>.mx</t>
  </si>
  <si>
    <t>MX</t>
  </si>
  <si>
    <t>Mexiko</t>
  </si>
  <si>
    <t xml:space="preserve">Messico </t>
  </si>
  <si>
    <t xml:space="preserve">Mexico </t>
  </si>
  <si>
    <t>México</t>
  </si>
  <si>
    <t>Mexique</t>
  </si>
  <si>
    <t>.mh</t>
  </si>
  <si>
    <t>MH</t>
  </si>
  <si>
    <t>Marshallinseln</t>
  </si>
  <si>
    <t xml:space="preserve">Isole Marshall </t>
  </si>
  <si>
    <t xml:space="preserve">Marshall Islands </t>
  </si>
  <si>
    <t>Islas Marshall</t>
  </si>
  <si>
    <t>Îles Marshall</t>
  </si>
  <si>
    <t>.mk</t>
  </si>
  <si>
    <t>MK</t>
  </si>
  <si>
    <t>Mazedonien</t>
  </si>
  <si>
    <t xml:space="preserve">Repubblica di Macedonia </t>
  </si>
  <si>
    <t xml:space="preserve">Macedonia, The Former Yugoslav Republic of </t>
  </si>
  <si>
    <t>República de Macedonia</t>
  </si>
  <si>
    <t>Macédoine</t>
  </si>
  <si>
    <t>.ml</t>
  </si>
  <si>
    <t>ML</t>
  </si>
  <si>
    <t xml:space="preserve">Mali </t>
  </si>
  <si>
    <t>Malí</t>
  </si>
  <si>
    <t>.mt</t>
  </si>
  <si>
    <t>MT</t>
  </si>
  <si>
    <t xml:space="preserve">Malta </t>
  </si>
  <si>
    <t>Malte</t>
  </si>
  <si>
    <t>.mm</t>
  </si>
  <si>
    <t>MM</t>
  </si>
  <si>
    <t>Myanmar (Burma)</t>
  </si>
  <si>
    <t xml:space="preserve">Birmania </t>
  </si>
  <si>
    <t xml:space="preserve">Myanmar </t>
  </si>
  <si>
    <t>Birmania</t>
  </si>
  <si>
    <t>.me</t>
  </si>
  <si>
    <t>ME</t>
  </si>
  <si>
    <t xml:space="preserve">Montenegro </t>
  </si>
  <si>
    <t>Monténégro</t>
  </si>
  <si>
    <t>.mn</t>
  </si>
  <si>
    <t>MN</t>
  </si>
  <si>
    <t>Mongolei</t>
  </si>
  <si>
    <t xml:space="preserve">Mongolia </t>
  </si>
  <si>
    <t>Mongolie</t>
  </si>
  <si>
    <t>.mp</t>
  </si>
  <si>
    <t>MP</t>
  </si>
  <si>
    <t>Nördliche Marianen</t>
  </si>
  <si>
    <t xml:space="preserve">Isole Marianne Settentrionali </t>
  </si>
  <si>
    <t xml:space="preserve">Northern Mariana Islands </t>
  </si>
  <si>
    <t>Islas Marianas del Norte</t>
  </si>
  <si>
    <t>Îles Mariannes du Nord</t>
  </si>
  <si>
    <t>.mz</t>
  </si>
  <si>
    <t>MZ</t>
  </si>
  <si>
    <t>Mosambik</t>
  </si>
  <si>
    <t xml:space="preserve">Mozambico </t>
  </si>
  <si>
    <t xml:space="preserve">Mozambique </t>
  </si>
  <si>
    <t>.mr</t>
  </si>
  <si>
    <t>MR</t>
  </si>
  <si>
    <t>Mauretanien</t>
  </si>
  <si>
    <t xml:space="preserve">Mauritania </t>
  </si>
  <si>
    <t>Mauritanie</t>
  </si>
  <si>
    <t>.mu</t>
  </si>
  <si>
    <t>MU</t>
  </si>
  <si>
    <t xml:space="preserve">Mauritius </t>
  </si>
  <si>
    <t>Mauricio</t>
  </si>
  <si>
    <t>Île Maurice</t>
  </si>
  <si>
    <t>.mw</t>
  </si>
  <si>
    <t>MW</t>
  </si>
  <si>
    <t xml:space="preserve">Malawi </t>
  </si>
  <si>
    <t>Malaui</t>
  </si>
  <si>
    <t>.my</t>
  </si>
  <si>
    <t>MY</t>
  </si>
  <si>
    <t xml:space="preserve">Malesia </t>
  </si>
  <si>
    <t xml:space="preserve">Malaysia </t>
  </si>
  <si>
    <t>Malasia</t>
  </si>
  <si>
    <t>Malaysie</t>
  </si>
  <si>
    <t>.na</t>
  </si>
  <si>
    <t>NA</t>
  </si>
  <si>
    <t xml:space="preserve">Namibia </t>
  </si>
  <si>
    <t>Namibie</t>
  </si>
  <si>
    <t>.nc</t>
  </si>
  <si>
    <t>NC</t>
  </si>
  <si>
    <t>Neukaledonien</t>
  </si>
  <si>
    <t xml:space="preserve">Nuova Caledonia </t>
  </si>
  <si>
    <t xml:space="preserve">New Caledonia </t>
  </si>
  <si>
    <t>Nueva Caledonia</t>
  </si>
  <si>
    <t>Nouvelle-Calédonie</t>
  </si>
  <si>
    <t>.ne</t>
  </si>
  <si>
    <t>NE</t>
  </si>
  <si>
    <t xml:space="preserve">Niger </t>
  </si>
  <si>
    <t>Níger</t>
  </si>
  <si>
    <t>.ng</t>
  </si>
  <si>
    <t>NG</t>
  </si>
  <si>
    <t xml:space="preserve">Nigeria </t>
  </si>
  <si>
    <t>Nigéria</t>
  </si>
  <si>
    <t>.ni</t>
  </si>
  <si>
    <t>NI</t>
  </si>
  <si>
    <t xml:space="preserve">Nicaragua </t>
  </si>
  <si>
    <t>.nl</t>
  </si>
  <si>
    <t>NL</t>
  </si>
  <si>
    <t>Niederlande</t>
  </si>
  <si>
    <t xml:space="preserve">Paesi Bassi </t>
  </si>
  <si>
    <t xml:space="preserve">Netherlands </t>
  </si>
  <si>
    <t>Países Bajos</t>
  </si>
  <si>
    <t>Pays-Bas</t>
  </si>
  <si>
    <t>.no</t>
  </si>
  <si>
    <t>NO</t>
  </si>
  <si>
    <t>Norwegen</t>
  </si>
  <si>
    <t xml:space="preserve">Norvegia </t>
  </si>
  <si>
    <t xml:space="preserve">Norway </t>
  </si>
  <si>
    <t>Noruega</t>
  </si>
  <si>
    <t>Norvège</t>
  </si>
  <si>
    <t>.np</t>
  </si>
  <si>
    <t>NP</t>
  </si>
  <si>
    <t xml:space="preserve">Nepal </t>
  </si>
  <si>
    <t>Népal</t>
  </si>
  <si>
    <t>.nr</t>
  </si>
  <si>
    <t>NR</t>
  </si>
  <si>
    <t xml:space="preserve">Nauru </t>
  </si>
  <si>
    <t>.nz</t>
  </si>
  <si>
    <t>NZ</t>
  </si>
  <si>
    <t>Neuseeland</t>
  </si>
  <si>
    <t xml:space="preserve">Nuova Zelanda </t>
  </si>
  <si>
    <t xml:space="preserve">New Zealand </t>
  </si>
  <si>
    <t>Nueva Zelanda</t>
  </si>
  <si>
    <t>Nouvelle Zélande</t>
  </si>
  <si>
    <t>.om</t>
  </si>
  <si>
    <t>OM</t>
  </si>
  <si>
    <t xml:space="preserve">Oman </t>
  </si>
  <si>
    <t>Omán</t>
  </si>
  <si>
    <t>.pk</t>
  </si>
  <si>
    <t>PK</t>
  </si>
  <si>
    <t xml:space="preserve">Pakistan </t>
  </si>
  <si>
    <t>Pakistán</t>
  </si>
  <si>
    <t>.pa</t>
  </si>
  <si>
    <t>PA</t>
  </si>
  <si>
    <t xml:space="preserve">Panamá </t>
  </si>
  <si>
    <t xml:space="preserve">Panama </t>
  </si>
  <si>
    <t>Panamá</t>
  </si>
  <si>
    <t>.pe</t>
  </si>
  <si>
    <t>PE</t>
  </si>
  <si>
    <t xml:space="preserve">Perù </t>
  </si>
  <si>
    <t xml:space="preserve">Peru </t>
  </si>
  <si>
    <t>Perú</t>
  </si>
  <si>
    <t>Pérou</t>
  </si>
  <si>
    <t>.ph</t>
  </si>
  <si>
    <t>PH</t>
  </si>
  <si>
    <t>Philippinen</t>
  </si>
  <si>
    <t xml:space="preserve">Filippine </t>
  </si>
  <si>
    <t xml:space="preserve">Philippines </t>
  </si>
  <si>
    <t>Filipinas</t>
  </si>
  <si>
    <t>.pw</t>
  </si>
  <si>
    <t>PW</t>
  </si>
  <si>
    <t xml:space="preserve">Palau </t>
  </si>
  <si>
    <t>Palaos</t>
  </si>
  <si>
    <t>.pg</t>
  </si>
  <si>
    <t>PG</t>
  </si>
  <si>
    <t>Papua-Neuguinea</t>
  </si>
  <si>
    <t xml:space="preserve">Papua Nuova Guinea </t>
  </si>
  <si>
    <t xml:space="preserve">Papua New Guinea </t>
  </si>
  <si>
    <t>Papúa Nueva Guinea</t>
  </si>
  <si>
    <t>Papouasie-Nouvelle-Guinée</t>
  </si>
  <si>
    <t>.pl</t>
  </si>
  <si>
    <t>PL</t>
  </si>
  <si>
    <t>Polen</t>
  </si>
  <si>
    <t xml:space="preserve">Polonia </t>
  </si>
  <si>
    <t xml:space="preserve">Poland </t>
  </si>
  <si>
    <t>Polonia</t>
  </si>
  <si>
    <t>Pologne</t>
  </si>
  <si>
    <t>.pr</t>
  </si>
  <si>
    <t>PR</t>
  </si>
  <si>
    <t xml:space="preserve">Porto Rico </t>
  </si>
  <si>
    <t xml:space="preserve">Puerto Rico </t>
  </si>
  <si>
    <t>.kp</t>
  </si>
  <si>
    <t>KP</t>
  </si>
  <si>
    <t>Korea, Demokratische Volksrepublik (Nordkorea)</t>
  </si>
  <si>
    <t xml:space="preserve">Corea del Nord </t>
  </si>
  <si>
    <t xml:space="preserve">Korea, Democratic People's Republic of </t>
  </si>
  <si>
    <t>Corea del Norte</t>
  </si>
  <si>
    <t>Corée du Nord</t>
  </si>
  <si>
    <t>.pt</t>
  </si>
  <si>
    <t>PT</t>
  </si>
  <si>
    <t xml:space="preserve">Portogallo </t>
  </si>
  <si>
    <t xml:space="preserve">Portugal </t>
  </si>
  <si>
    <t>.py</t>
  </si>
  <si>
    <t>PY</t>
  </si>
  <si>
    <t xml:space="preserve">Paraguay </t>
  </si>
  <si>
    <t>.ps</t>
  </si>
  <si>
    <t>PS</t>
  </si>
  <si>
    <t>Palästinensische Autonomiegebiete</t>
  </si>
  <si>
    <t xml:space="preserve">Palestina </t>
  </si>
  <si>
    <t xml:space="preserve">Palestinian Territory, Occupied </t>
  </si>
  <si>
    <t>Autoridad Nacional Palestina</t>
  </si>
  <si>
    <t>Territoire Palestinien</t>
  </si>
  <si>
    <t>.pf</t>
  </si>
  <si>
    <t>PF</t>
  </si>
  <si>
    <t>Französisch-Polynesien</t>
  </si>
  <si>
    <t xml:space="preserve">Polinesia francese </t>
  </si>
  <si>
    <t xml:space="preserve">French Polynesia </t>
  </si>
  <si>
    <t>Polinesia Francesa</t>
  </si>
  <si>
    <t>Polynésie française</t>
  </si>
  <si>
    <t>.qa</t>
  </si>
  <si>
    <t>QA</t>
  </si>
  <si>
    <t>Katar</t>
  </si>
  <si>
    <t xml:space="preserve">Qatar </t>
  </si>
  <si>
    <t>Catar</t>
  </si>
  <si>
    <t>.ro</t>
  </si>
  <si>
    <t>RO</t>
  </si>
  <si>
    <t>Rumänien</t>
  </si>
  <si>
    <t xml:space="preserve">Romania </t>
  </si>
  <si>
    <t>Rumania</t>
  </si>
  <si>
    <t>Roumanie</t>
  </si>
  <si>
    <t>.ru</t>
  </si>
  <si>
    <t>RU</t>
  </si>
  <si>
    <t>Russische Föderation</t>
  </si>
  <si>
    <t xml:space="preserve">Russia </t>
  </si>
  <si>
    <t xml:space="preserve">Russian Federation </t>
  </si>
  <si>
    <t>Rusia</t>
  </si>
  <si>
    <t>Russie</t>
  </si>
  <si>
    <t>.rw</t>
  </si>
  <si>
    <t>RW</t>
  </si>
  <si>
    <t>Ruanda</t>
  </si>
  <si>
    <t xml:space="preserve">Ruanda </t>
  </si>
  <si>
    <t xml:space="preserve">Rwanda </t>
  </si>
  <si>
    <t>.sa</t>
  </si>
  <si>
    <t>SA</t>
  </si>
  <si>
    <t>Saudi-Arabien</t>
  </si>
  <si>
    <t xml:space="preserve">Arabia Saudita </t>
  </si>
  <si>
    <t xml:space="preserve">Saudi Arabia </t>
  </si>
  <si>
    <t>Arabia Saudita Arabia Saudita</t>
  </si>
  <si>
    <t>Arabie Saoudite</t>
  </si>
  <si>
    <t>.sd</t>
  </si>
  <si>
    <t>SD</t>
  </si>
  <si>
    <t xml:space="preserve">Sudan </t>
  </si>
  <si>
    <t>Sudán</t>
  </si>
  <si>
    <t>Soudan</t>
  </si>
  <si>
    <t>.sn</t>
  </si>
  <si>
    <t>SN</t>
  </si>
  <si>
    <t xml:space="preserve">Senegal </t>
  </si>
  <si>
    <t>Sénégal</t>
  </si>
  <si>
    <t>.sg</t>
  </si>
  <si>
    <t>SG</t>
  </si>
  <si>
    <t>Singapur</t>
  </si>
  <si>
    <t xml:space="preserve">Singapore </t>
  </si>
  <si>
    <t>Singapour</t>
  </si>
  <si>
    <t>.sb</t>
  </si>
  <si>
    <t>SB</t>
  </si>
  <si>
    <t>Salomonen</t>
  </si>
  <si>
    <t xml:space="preserve">Isole Salomone </t>
  </si>
  <si>
    <t xml:space="preserve">Solomon Islands </t>
  </si>
  <si>
    <t>Islas Salomón</t>
  </si>
  <si>
    <t>Îles Salomon</t>
  </si>
  <si>
    <t>.sl</t>
  </si>
  <si>
    <t>SL</t>
  </si>
  <si>
    <t xml:space="preserve">Sierra Leone </t>
  </si>
  <si>
    <t>Sierra Leona</t>
  </si>
  <si>
    <t>.sv</t>
  </si>
  <si>
    <t>SV</t>
  </si>
  <si>
    <t xml:space="preserve">El Salvador </t>
  </si>
  <si>
    <t>Le Salvador</t>
  </si>
  <si>
    <t>.sm</t>
  </si>
  <si>
    <t>SM</t>
  </si>
  <si>
    <t xml:space="preserve">San Marino </t>
  </si>
  <si>
    <t>San Marin</t>
  </si>
  <si>
    <t>.so</t>
  </si>
  <si>
    <t>SO</t>
  </si>
  <si>
    <t xml:space="preserve">Somalia </t>
  </si>
  <si>
    <t>Somalie</t>
  </si>
  <si>
    <t>.rs</t>
  </si>
  <si>
    <t>RS</t>
  </si>
  <si>
    <t>Serbien</t>
  </si>
  <si>
    <t xml:space="preserve">Serbia </t>
  </si>
  <si>
    <t>Serbie</t>
  </si>
  <si>
    <t>SS</t>
  </si>
  <si>
    <t>Südsudan</t>
  </si>
  <si>
    <t xml:space="preserve">Sudan del Sud </t>
  </si>
  <si>
    <t xml:space="preserve">South Sudan </t>
  </si>
  <si>
    <t>Sudán del Sur</t>
  </si>
  <si>
    <t>Soudan du Sud</t>
  </si>
  <si>
    <t>.st</t>
  </si>
  <si>
    <t>ST</t>
  </si>
  <si>
    <t>São Tomé und Príncipe</t>
  </si>
  <si>
    <t xml:space="preserve">São Tomé e Príncipe </t>
  </si>
  <si>
    <t xml:space="preserve">Sao Tome and Principe </t>
  </si>
  <si>
    <t>Santo Tomé y Príncipe</t>
  </si>
  <si>
    <t>Sao Tomé-et-Principe</t>
  </si>
  <si>
    <t>.sr</t>
  </si>
  <si>
    <t>SR</t>
  </si>
  <si>
    <t xml:space="preserve">Suriname </t>
  </si>
  <si>
    <t>Surinam</t>
  </si>
  <si>
    <t>.sk</t>
  </si>
  <si>
    <t>SK</t>
  </si>
  <si>
    <t>Slowakei</t>
  </si>
  <si>
    <t xml:space="preserve">Slovacchia </t>
  </si>
  <si>
    <t xml:space="preserve">Slovakia </t>
  </si>
  <si>
    <t>Eslovaquia</t>
  </si>
  <si>
    <t>Slovaquie</t>
  </si>
  <si>
    <t>.si</t>
  </si>
  <si>
    <t>SI</t>
  </si>
  <si>
    <t>Slowenien</t>
  </si>
  <si>
    <t xml:space="preserve">Slovenia </t>
  </si>
  <si>
    <t>Eslovenia</t>
  </si>
  <si>
    <t>Slovénie</t>
  </si>
  <si>
    <t>.se</t>
  </si>
  <si>
    <t>SE</t>
  </si>
  <si>
    <t>Schweden</t>
  </si>
  <si>
    <t xml:space="preserve">Svezia </t>
  </si>
  <si>
    <t xml:space="preserve">Sweden </t>
  </si>
  <si>
    <t>Suecia</t>
  </si>
  <si>
    <t>Suède</t>
  </si>
  <si>
    <t>.sz</t>
  </si>
  <si>
    <t>SZ</t>
  </si>
  <si>
    <t>Swasiland</t>
  </si>
  <si>
    <t xml:space="preserve">Swaziland </t>
  </si>
  <si>
    <t>Suazilandia</t>
  </si>
  <si>
    <t>.sx</t>
  </si>
  <si>
    <t>SX</t>
  </si>
  <si>
    <t>Sint Maarten (niederl. Teil)</t>
  </si>
  <si>
    <t xml:space="preserve">Sint Maarten </t>
  </si>
  <si>
    <t xml:space="preserve">Sint Maarten (Dutch part) </t>
  </si>
  <si>
    <t>Sint Maarten</t>
  </si>
  <si>
    <t>.sc</t>
  </si>
  <si>
    <t>SC</t>
  </si>
  <si>
    <t>Seychellen</t>
  </si>
  <si>
    <t xml:space="preserve">Seychelles </t>
  </si>
  <si>
    <t>.sy</t>
  </si>
  <si>
    <t>SY</t>
  </si>
  <si>
    <t>Syrien, Arabische Republik</t>
  </si>
  <si>
    <t xml:space="preserve">Siria </t>
  </si>
  <si>
    <t xml:space="preserve">Syrian Arab Republic </t>
  </si>
  <si>
    <t>Siria</t>
  </si>
  <si>
    <t>Syrie</t>
  </si>
  <si>
    <t>.tc</t>
  </si>
  <si>
    <t>TC</t>
  </si>
  <si>
    <t>Turks- und Caicosinseln</t>
  </si>
  <si>
    <t xml:space="preserve">Turks e Caicos </t>
  </si>
  <si>
    <t xml:space="preserve">Turks and Caicos Islands </t>
  </si>
  <si>
    <t>Islas Turcas y Caicos</t>
  </si>
  <si>
    <t>Îles Turques et Caïques</t>
  </si>
  <si>
    <t>.td</t>
  </si>
  <si>
    <t>TD</t>
  </si>
  <si>
    <t>Tschad</t>
  </si>
  <si>
    <t xml:space="preserve">Ciad </t>
  </si>
  <si>
    <t xml:space="preserve">Chad </t>
  </si>
  <si>
    <t>Tchad</t>
  </si>
  <si>
    <t>.tg</t>
  </si>
  <si>
    <t>TG</t>
  </si>
  <si>
    <t xml:space="preserve">Togo </t>
  </si>
  <si>
    <t>.th</t>
  </si>
  <si>
    <t>TH</t>
  </si>
  <si>
    <t xml:space="preserve">Thailandia </t>
  </si>
  <si>
    <t xml:space="preserve">Thailand </t>
  </si>
  <si>
    <t>Tailandia</t>
  </si>
  <si>
    <t>Thaïlande</t>
  </si>
  <si>
    <t>.tj</t>
  </si>
  <si>
    <t>TJ</t>
  </si>
  <si>
    <t>Tadschikistan</t>
  </si>
  <si>
    <t xml:space="preserve">Tagikistan </t>
  </si>
  <si>
    <t xml:space="preserve">Tajikistan </t>
  </si>
  <si>
    <t>Tayikistán</t>
  </si>
  <si>
    <t>.tm</t>
  </si>
  <si>
    <t>TM</t>
  </si>
  <si>
    <t xml:space="preserve">Turkmenistan </t>
  </si>
  <si>
    <t>Turkmenistán</t>
  </si>
  <si>
    <t>Turkménistan</t>
  </si>
  <si>
    <t>.tl</t>
  </si>
  <si>
    <t>TL</t>
  </si>
  <si>
    <t>Osttimor (Timor-Leste)</t>
  </si>
  <si>
    <t xml:space="preserve">Timor Est </t>
  </si>
  <si>
    <t xml:space="preserve">Timor-Leste </t>
  </si>
  <si>
    <t>Timor Oriental</t>
  </si>
  <si>
    <t>Timor oriental</t>
  </si>
  <si>
    <t>.to</t>
  </si>
  <si>
    <t>TO</t>
  </si>
  <si>
    <t xml:space="preserve">Tonga </t>
  </si>
  <si>
    <t>.tt</t>
  </si>
  <si>
    <t>TT</t>
  </si>
  <si>
    <t>Trinidad und Tobago</t>
  </si>
  <si>
    <t xml:space="preserve">Trinidad e Tobago </t>
  </si>
  <si>
    <t xml:space="preserve">Trinidad and Tobago </t>
  </si>
  <si>
    <t>Trinidad y Tobago</t>
  </si>
  <si>
    <t>Trinité et Tobago</t>
  </si>
  <si>
    <t>.tn</t>
  </si>
  <si>
    <t>TN</t>
  </si>
  <si>
    <t>Tunesien</t>
  </si>
  <si>
    <t xml:space="preserve">Tunisia </t>
  </si>
  <si>
    <t>Túnez</t>
  </si>
  <si>
    <t>Tunisie</t>
  </si>
  <si>
    <t>.tr</t>
  </si>
  <si>
    <t>TR</t>
  </si>
  <si>
    <t>Türkei</t>
  </si>
  <si>
    <t xml:space="preserve">Turchia </t>
  </si>
  <si>
    <t xml:space="preserve">Turkey </t>
  </si>
  <si>
    <t>Turquía</t>
  </si>
  <si>
    <t>Turquie</t>
  </si>
  <si>
    <t>.tv</t>
  </si>
  <si>
    <t>TV</t>
  </si>
  <si>
    <t xml:space="preserve">Tuvalu </t>
  </si>
  <si>
    <t>.tz</t>
  </si>
  <si>
    <t>TZ</t>
  </si>
  <si>
    <t>Tansania, Vereinigte Republik</t>
  </si>
  <si>
    <t xml:space="preserve">Tanzania </t>
  </si>
  <si>
    <t xml:space="preserve">Tanzania, United Republic of </t>
  </si>
  <si>
    <t>Tanzanie</t>
  </si>
  <si>
    <t>.ug</t>
  </si>
  <si>
    <t>UG</t>
  </si>
  <si>
    <t xml:space="preserve">Uganda </t>
  </si>
  <si>
    <t>Ouganda</t>
  </si>
  <si>
    <t>.ua</t>
  </si>
  <si>
    <t>UA</t>
  </si>
  <si>
    <t xml:space="preserve">Ucraina </t>
  </si>
  <si>
    <t xml:space="preserve">Ukraine </t>
  </si>
  <si>
    <t>Ucrania</t>
  </si>
  <si>
    <t>.uy</t>
  </si>
  <si>
    <t>UY</t>
  </si>
  <si>
    <t xml:space="preserve">Uruguay </t>
  </si>
  <si>
    <t>.us</t>
  </si>
  <si>
    <t>US</t>
  </si>
  <si>
    <t>Vereinigte Staaten von Amerika</t>
  </si>
  <si>
    <t xml:space="preserve">Stati Uniti d'America </t>
  </si>
  <si>
    <t xml:space="preserve">United States </t>
  </si>
  <si>
    <t>Estados Unidos</t>
  </si>
  <si>
    <t>États-Unis (USA)</t>
  </si>
  <si>
    <t>.uz</t>
  </si>
  <si>
    <t>UZ</t>
  </si>
  <si>
    <t>Usbekistan</t>
  </si>
  <si>
    <t xml:space="preserve">Uzbekistan </t>
  </si>
  <si>
    <t>Uzbekistán</t>
  </si>
  <si>
    <t>Ouzbékistan</t>
  </si>
  <si>
    <t>.vc</t>
  </si>
  <si>
    <t>VC</t>
  </si>
  <si>
    <t>St. Vincent und die Grenadinen</t>
  </si>
  <si>
    <t xml:space="preserve">Saint Vincent e Grenadine </t>
  </si>
  <si>
    <t xml:space="preserve">Saint Vincent and the Grenadines </t>
  </si>
  <si>
    <t>San Vicente y las Granadinas</t>
  </si>
  <si>
    <t>Saint-Vincent-et-les-Grenadines</t>
  </si>
  <si>
    <t>.ve</t>
  </si>
  <si>
    <t>VE</t>
  </si>
  <si>
    <t>Venezuela</t>
  </si>
  <si>
    <t xml:space="preserve">Venezuela </t>
  </si>
  <si>
    <t xml:space="preserve">Venezuela, Bolivarian Republic of </t>
  </si>
  <si>
    <t>Vénézuela</t>
  </si>
  <si>
    <t>.vg</t>
  </si>
  <si>
    <t>VG</t>
  </si>
  <si>
    <t>Britische Jungferninseln</t>
  </si>
  <si>
    <t xml:space="preserve">Isole Vergini britanniche </t>
  </si>
  <si>
    <t xml:space="preserve">Virgin Islands, British </t>
  </si>
  <si>
    <t>Islas Vírgenes Británicas</t>
  </si>
  <si>
    <t>Îles Vierges britanniques</t>
  </si>
  <si>
    <t>.vi</t>
  </si>
  <si>
    <t>VI</t>
  </si>
  <si>
    <t>Amerikanische Jungferninseln</t>
  </si>
  <si>
    <t xml:space="preserve">Isole Vergini americane </t>
  </si>
  <si>
    <t xml:space="preserve">Virgin Islands, U.S. </t>
  </si>
  <si>
    <t>Islas Vírgenes de los Estados Unidos</t>
  </si>
  <si>
    <t>Îles Vierges des États-Unis</t>
  </si>
  <si>
    <t>.vn</t>
  </si>
  <si>
    <t>VN</t>
  </si>
  <si>
    <t xml:space="preserve">Vietnam </t>
  </si>
  <si>
    <t xml:space="preserve">Viet Nam </t>
  </si>
  <si>
    <t>.vu</t>
  </si>
  <si>
    <t>VU</t>
  </si>
  <si>
    <t xml:space="preserve">Vanuatu </t>
  </si>
  <si>
    <t>.ws</t>
  </si>
  <si>
    <t>WS</t>
  </si>
  <si>
    <t xml:space="preserve">Samoa </t>
  </si>
  <si>
    <t>XK</t>
  </si>
  <si>
    <t>.ye</t>
  </si>
  <si>
    <t>YE</t>
  </si>
  <si>
    <t>Jemen</t>
  </si>
  <si>
    <t xml:space="preserve">Yemen </t>
  </si>
  <si>
    <t>Yemen</t>
  </si>
  <si>
    <t>.za</t>
  </si>
  <si>
    <t>ZA</t>
  </si>
  <si>
    <t>Südafrika</t>
  </si>
  <si>
    <t xml:space="preserve">Sudafrica </t>
  </si>
  <si>
    <t xml:space="preserve">South Africa </t>
  </si>
  <si>
    <t>Sudáfrica</t>
  </si>
  <si>
    <t>Afrique du Sud</t>
  </si>
  <si>
    <t>.zm</t>
  </si>
  <si>
    <t>ZM</t>
  </si>
  <si>
    <t>Sambia</t>
  </si>
  <si>
    <t xml:space="preserve">Zambia </t>
  </si>
  <si>
    <t>Zambie</t>
  </si>
  <si>
    <t>.zw</t>
  </si>
  <si>
    <t>ZW</t>
  </si>
  <si>
    <t>Simbabwe</t>
  </si>
  <si>
    <t xml:space="preserve">Zimbabwe </t>
  </si>
  <si>
    <t>Zimbabue</t>
  </si>
  <si>
    <t>Durchschnitt Afrika</t>
  </si>
  <si>
    <t>media Africa</t>
  </si>
  <si>
    <t>Media África</t>
  </si>
  <si>
    <t>Durchschnitt Amerika</t>
  </si>
  <si>
    <t>media America</t>
  </si>
  <si>
    <t>Media Américas</t>
  </si>
  <si>
    <t>Durchschnitt Asien</t>
  </si>
  <si>
    <t>media Asia</t>
  </si>
  <si>
    <t>Media Asia</t>
  </si>
  <si>
    <t>Durchschnitt Europa</t>
  </si>
  <si>
    <t>media Europa</t>
  </si>
  <si>
    <t>Media Europa</t>
  </si>
  <si>
    <t>Durchschnitt Ozeanien</t>
  </si>
  <si>
    <t>media Ozeania</t>
  </si>
  <si>
    <t>Media Oceanía</t>
  </si>
  <si>
    <t>Durchschnitt Welt</t>
  </si>
  <si>
    <t>media mondo</t>
  </si>
  <si>
    <t>Media Mundo</t>
  </si>
  <si>
    <t>provenienza prevalente del resto dei fornitori</t>
  </si>
  <si>
    <t>Origen predominante del resto de proveedores</t>
  </si>
  <si>
    <t>Welfare aziendale, retribuzione e organizzazione del lavoro</t>
  </si>
  <si>
    <t>Arab World</t>
  </si>
  <si>
    <t>Central Europe and the Baltics</t>
  </si>
  <si>
    <t>Channel Islands</t>
  </si>
  <si>
    <t>Caribbean small states</t>
  </si>
  <si>
    <t>East Asia &amp; Pacific (excluding high income)</t>
  </si>
  <si>
    <t>Early-demographic dividend</t>
  </si>
  <si>
    <t>East Asia &amp; Pacific</t>
  </si>
  <si>
    <t>Europe &amp; Central Asia (excluding high income)</t>
  </si>
  <si>
    <t>Europe &amp; Central Asia</t>
  </si>
  <si>
    <t>Euro area</t>
  </si>
  <si>
    <t>European Union</t>
  </si>
  <si>
    <t>Fragile and conflict affected situations</t>
  </si>
  <si>
    <t>High income</t>
  </si>
  <si>
    <t>Heavily indebted poor countries (HIPC)</t>
  </si>
  <si>
    <t>IBRD only</t>
  </si>
  <si>
    <t>IDA &amp; IBRD total</t>
  </si>
  <si>
    <t>IDA total</t>
  </si>
  <si>
    <t>IDA blend</t>
  </si>
  <si>
    <t>IDA only</t>
  </si>
  <si>
    <t>Not classified</t>
  </si>
  <si>
    <t>Latin America &amp; Caribbean (excluding high income)</t>
  </si>
  <si>
    <t>Latin America &amp; Caribbean</t>
  </si>
  <si>
    <t>Least developed countries: UN classification</t>
  </si>
  <si>
    <t>Low income</t>
  </si>
  <si>
    <t>Lower middle income</t>
  </si>
  <si>
    <t>Low &amp; middle income</t>
  </si>
  <si>
    <t>Late-demographic dividend</t>
  </si>
  <si>
    <t>Middle East &amp; North Africa</t>
  </si>
  <si>
    <t>Middle income</t>
  </si>
  <si>
    <t>Middle East &amp; North Africa (excluding high income)</t>
  </si>
  <si>
    <t>North America</t>
  </si>
  <si>
    <t>OECD members</t>
  </si>
  <si>
    <t>Other small states</t>
  </si>
  <si>
    <t>Pre-demographic dividend</t>
  </si>
  <si>
    <t>Pacific island small states</t>
  </si>
  <si>
    <t>Post-demographic dividend</t>
  </si>
  <si>
    <t>South Asia</t>
  </si>
  <si>
    <t>Sub-Saharan Africa (excluding high income)</t>
  </si>
  <si>
    <t>Sub-Saharan Africa</t>
  </si>
  <si>
    <t>Small states</t>
  </si>
  <si>
    <t>East Asia &amp; Pacific (IDA &amp; IBRD countries)</t>
  </si>
  <si>
    <t>Europe &amp; Central Asia (IDA &amp; IBRD countries)</t>
  </si>
  <si>
    <t>Latin America &amp; the Caribbean (IDA &amp; IBRD countries)</t>
  </si>
  <si>
    <t>Middle East &amp; North Africa (IDA &amp; IBRD countries)</t>
  </si>
  <si>
    <t>South Asia (IDA &amp; IBRD)</t>
  </si>
  <si>
    <t>Sub-Saharan Africa (IDA &amp; IBRD countries)</t>
  </si>
  <si>
    <t>Upper middle income</t>
  </si>
  <si>
    <t>Exchange Rate $ 2017</t>
  </si>
  <si>
    <t>ppp gdp conversion factor 2017</t>
  </si>
  <si>
    <t>Exchange Rate country 2017 (oanda)</t>
  </si>
  <si>
    <t>conversion factor</t>
  </si>
  <si>
    <t>Regional Estimate calculationen</t>
  </si>
  <si>
    <t>Select your language</t>
  </si>
  <si>
    <t xml:space="preserve">Gewichtung geändert. Ursprünglich </t>
  </si>
  <si>
    <t xml:space="preserve">Peso cambiato. Originale </t>
  </si>
  <si>
    <t xml:space="preserve">Weighting changed. Original </t>
  </si>
  <si>
    <t xml:space="preserve">Ponderación cambiada. Original </t>
  </si>
  <si>
    <t>PPP Factor</t>
  </si>
  <si>
    <t>ITUC</t>
  </si>
  <si>
    <t>Introduce value between 0 and 10</t>
  </si>
  <si>
    <t>Introduce negative points between 0 and -200</t>
  </si>
  <si>
    <t>fehlerhafte Eingabe</t>
  </si>
  <si>
    <t>Values are not consistent</t>
  </si>
  <si>
    <t>Los valores no son consistentes</t>
  </si>
  <si>
    <t xml:space="preserve"> Puntos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</si>
</sst>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 %"/>
    <numFmt numFmtId="165" formatCode="0.0"/>
    <numFmt numFmtId="166" formatCode="* #,##0.00\ ;\-* #,##0.00\ ;* \-#\ ;@\ "/>
    <numFmt numFmtId="167" formatCode="* #,##0\ ;\-* #,##0\ ;* \-#\ ;@\ "/>
    <numFmt numFmtId="168" formatCode="0.000"/>
    <numFmt numFmtId="169" formatCode="#,##0.0_ ;\-#,##0.0\ "/>
    <numFmt numFmtId="170" formatCode="* #,##0.0\ ;\-* #,##0.0\ ;* \-#\ ;@\ "/>
    <numFmt numFmtId="171" formatCode="#,##0.0"/>
    <numFmt numFmtId="172" formatCode="* #,##0.000\ ;\-* #,##0.000\ ;* \-#.0\ ;@\ "/>
  </numFmts>
  <fonts count="93">
    <font>
      <sz val="11"/>
      <color indexed="8"/>
      <name val="Calibri"/>
      <family val="2"/>
    </font>
    <font>
      <sz val="10"/>
      <name val="Arial"/>
    </font>
    <font>
      <sz val="10"/>
      <color indexed="9"/>
      <name val="Calibri"/>
      <family val="2"/>
    </font>
    <font>
      <b/>
      <sz val="10"/>
      <color indexed="8"/>
      <name val="Calibri"/>
      <family val="2"/>
    </font>
    <font>
      <sz val="10"/>
      <color indexed="16"/>
      <name val="Calibri"/>
      <family val="2"/>
    </font>
    <font>
      <b/>
      <sz val="10"/>
      <color indexed="9"/>
      <name val="Calibri"/>
      <family val="2"/>
    </font>
    <font>
      <i/>
      <sz val="10"/>
      <color indexed="23"/>
      <name val="Calibri"/>
      <family val="2"/>
    </font>
    <font>
      <sz val="10"/>
      <color indexed="58"/>
      <name val="Calibri"/>
      <family val="2"/>
    </font>
    <font>
      <sz val="18"/>
      <color indexed="8"/>
      <name val="Calibri"/>
      <family val="2"/>
    </font>
    <font>
      <sz val="12"/>
      <color indexed="8"/>
      <name val="Calibri"/>
      <family val="2"/>
    </font>
    <font>
      <b/>
      <sz val="24"/>
      <color indexed="8"/>
      <name val="Calibri"/>
      <family val="2"/>
    </font>
    <font>
      <sz val="10"/>
      <color indexed="63"/>
      <name val="Calibri"/>
      <family val="2"/>
    </font>
    <font>
      <sz val="11"/>
      <color indexed="8"/>
      <name val="Arial"/>
      <family val="2"/>
    </font>
    <font>
      <b/>
      <sz val="16"/>
      <color indexed="50"/>
      <name val="Arial"/>
      <family val="2"/>
    </font>
    <font>
      <b/>
      <sz val="11"/>
      <color indexed="63"/>
      <name val="Arial"/>
      <family val="2"/>
    </font>
    <font>
      <b/>
      <sz val="11"/>
      <color indexed="50"/>
      <name val="Arial"/>
      <family val="2"/>
    </font>
    <font>
      <sz val="11"/>
      <color indexed="63"/>
      <name val="Arial"/>
      <family val="2"/>
    </font>
    <font>
      <u/>
      <sz val="11"/>
      <color indexed="12"/>
      <name val="Calibri"/>
      <family val="2"/>
    </font>
    <font>
      <b/>
      <u/>
      <sz val="11"/>
      <name val="Arial"/>
      <family val="2"/>
    </font>
    <font>
      <b/>
      <u/>
      <sz val="11"/>
      <color indexed="8"/>
      <name val="Arial"/>
      <family val="2"/>
    </font>
    <font>
      <sz val="11"/>
      <name val="Arial"/>
      <family val="2"/>
    </font>
    <font>
      <sz val="11"/>
      <color indexed="50"/>
      <name val="Arial"/>
      <family val="2"/>
    </font>
    <font>
      <b/>
      <sz val="11"/>
      <color indexed="9"/>
      <name val="Arial"/>
      <family val="2"/>
    </font>
    <font>
      <sz val="16"/>
      <color indexed="8"/>
      <name val="Arial"/>
      <family val="2"/>
    </font>
    <font>
      <sz val="11"/>
      <color indexed="9"/>
      <name val="Arial"/>
      <family val="2"/>
    </font>
    <font>
      <b/>
      <sz val="11"/>
      <color indexed="8"/>
      <name val="Arial"/>
      <family val="2"/>
    </font>
    <font>
      <b/>
      <sz val="11"/>
      <color indexed="60"/>
      <name val="Arial"/>
      <family val="2"/>
    </font>
    <font>
      <sz val="8"/>
      <color indexed="8"/>
      <name val="Arial"/>
      <family val="2"/>
    </font>
    <font>
      <sz val="6"/>
      <color indexed="8"/>
      <name val="Arial"/>
      <family val="2"/>
    </font>
    <font>
      <b/>
      <sz val="8"/>
      <color indexed="10"/>
      <name val="Arial"/>
      <family val="2"/>
    </font>
    <font>
      <sz val="11"/>
      <color indexed="9"/>
      <name val="Calibri"/>
      <family val="2"/>
    </font>
    <font>
      <b/>
      <sz val="9"/>
      <color indexed="63"/>
      <name val="Arial"/>
      <family val="2"/>
    </font>
    <font>
      <b/>
      <sz val="11"/>
      <color indexed="10"/>
      <name val="Arial"/>
      <family val="2"/>
    </font>
    <font>
      <sz val="9"/>
      <color indexed="50"/>
      <name val="Arial"/>
      <family val="2"/>
    </font>
    <font>
      <sz val="9"/>
      <name val="Arial"/>
      <family val="2"/>
    </font>
    <font>
      <sz val="11"/>
      <color indexed="22"/>
      <name val="Arial"/>
      <family val="2"/>
    </font>
    <font>
      <b/>
      <sz val="9"/>
      <color indexed="50"/>
      <name val="Arial"/>
      <family val="2"/>
    </font>
    <font>
      <b/>
      <sz val="9"/>
      <color indexed="9"/>
      <name val="Arial"/>
      <family val="2"/>
    </font>
    <font>
      <sz val="9"/>
      <color indexed="8"/>
      <name val="Calibri"/>
      <family val="2"/>
    </font>
    <font>
      <sz val="9"/>
      <color indexed="8"/>
      <name val="Cambria"/>
      <family val="1"/>
    </font>
    <font>
      <b/>
      <sz val="12"/>
      <color indexed="8"/>
      <name val="Cambria"/>
      <family val="1"/>
    </font>
    <font>
      <sz val="8"/>
      <color indexed="9"/>
      <name val="Cambria"/>
      <family val="1"/>
    </font>
    <font>
      <b/>
      <sz val="9"/>
      <color indexed="8"/>
      <name val="Cambria"/>
      <family val="1"/>
    </font>
    <font>
      <b/>
      <sz val="50"/>
      <color indexed="8"/>
      <name val="Cambria"/>
      <family val="1"/>
    </font>
    <font>
      <b/>
      <sz val="25"/>
      <color indexed="8"/>
      <name val="Cambria"/>
      <family val="1"/>
    </font>
    <font>
      <sz val="15"/>
      <color indexed="9"/>
      <name val="Cambria"/>
      <family val="1"/>
    </font>
    <font>
      <b/>
      <sz val="8"/>
      <color indexed="8"/>
      <name val="Cambria"/>
      <family val="1"/>
    </font>
    <font>
      <sz val="8"/>
      <color indexed="8"/>
      <name val="Cambria"/>
      <family val="1"/>
    </font>
    <font>
      <b/>
      <sz val="8"/>
      <color indexed="60"/>
      <name val="Cambria"/>
      <family val="1"/>
    </font>
    <font>
      <b/>
      <sz val="8"/>
      <color indexed="9"/>
      <name val="Cambria"/>
      <family val="1"/>
    </font>
    <font>
      <b/>
      <sz val="8"/>
      <name val="Cambria"/>
      <family val="1"/>
    </font>
    <font>
      <b/>
      <sz val="20"/>
      <color indexed="8"/>
      <name val="Cambria"/>
      <family val="1"/>
    </font>
    <font>
      <b/>
      <sz val="12"/>
      <color indexed="9"/>
      <name val="Cambria"/>
      <family val="1"/>
    </font>
    <font>
      <b/>
      <sz val="15"/>
      <color indexed="9"/>
      <name val="Cambria"/>
      <family val="1"/>
    </font>
    <font>
      <b/>
      <sz val="9"/>
      <color indexed="9"/>
      <name val="Cambria"/>
      <family val="1"/>
    </font>
    <font>
      <sz val="8"/>
      <color indexed="10"/>
      <name val="Cambria"/>
      <family val="1"/>
    </font>
    <font>
      <sz val="8"/>
      <name val="Cambria"/>
      <family val="1"/>
    </font>
    <font>
      <sz val="9"/>
      <color indexed="10"/>
      <name val="Cambria"/>
      <family val="1"/>
    </font>
    <font>
      <sz val="8"/>
      <color indexed="8"/>
      <name val="Segoe UI"/>
      <family val="2"/>
    </font>
    <font>
      <b/>
      <sz val="8"/>
      <color indexed="8"/>
      <name val="Segoe UI"/>
      <family val="2"/>
    </font>
    <font>
      <b/>
      <sz val="10"/>
      <color indexed="63"/>
      <name val="Arial"/>
      <family val="2"/>
    </font>
    <font>
      <sz val="10"/>
      <color indexed="50"/>
      <name val="Arial"/>
      <family val="2"/>
    </font>
    <font>
      <b/>
      <sz val="15"/>
      <color indexed="50"/>
      <name val="Arial"/>
      <family val="2"/>
    </font>
    <font>
      <sz val="10"/>
      <color indexed="9"/>
      <name val="Arial"/>
      <family val="2"/>
    </font>
    <font>
      <b/>
      <sz val="10"/>
      <color indexed="9"/>
      <name val="Arial"/>
      <family val="2"/>
    </font>
    <font>
      <sz val="10"/>
      <color indexed="63"/>
      <name val="Arial"/>
      <family val="2"/>
    </font>
    <font>
      <b/>
      <sz val="11"/>
      <color indexed="8"/>
      <name val="Calibri"/>
      <family val="2"/>
    </font>
    <font>
      <sz val="11"/>
      <name val="Wingdings 3"/>
      <family val="1"/>
    </font>
    <font>
      <b/>
      <sz val="11"/>
      <color indexed="11"/>
      <name val="Arial"/>
      <family val="2"/>
    </font>
    <font>
      <sz val="9"/>
      <color indexed="8"/>
      <name val="Arial"/>
      <family val="2"/>
    </font>
    <font>
      <sz val="8"/>
      <color indexed="9"/>
      <name val="Arial"/>
      <family val="2"/>
    </font>
    <font>
      <b/>
      <sz val="8"/>
      <color indexed="9"/>
      <name val="Arial"/>
      <family val="2"/>
    </font>
    <font>
      <b/>
      <sz val="8"/>
      <color indexed="8"/>
      <name val="Arial"/>
      <family val="2"/>
    </font>
    <font>
      <b/>
      <sz val="7"/>
      <color indexed="8"/>
      <name val="Arial"/>
      <family val="2"/>
    </font>
    <font>
      <sz val="7"/>
      <color indexed="8"/>
      <name val="Arial"/>
      <family val="2"/>
    </font>
    <font>
      <sz val="8"/>
      <color indexed="60"/>
      <name val="Arial"/>
      <family val="2"/>
    </font>
    <font>
      <b/>
      <sz val="12"/>
      <color indexed="8"/>
      <name val="Arial"/>
      <family val="2"/>
    </font>
    <font>
      <b/>
      <sz val="9"/>
      <color indexed="8"/>
      <name val="Calibri"/>
      <family val="2"/>
    </font>
    <font>
      <sz val="11"/>
      <color indexed="10"/>
      <name val="Calibri"/>
      <family val="2"/>
    </font>
    <font>
      <u/>
      <sz val="11"/>
      <color indexed="8"/>
      <name val="Calibri"/>
      <family val="2"/>
    </font>
    <font>
      <sz val="11"/>
      <color indexed="62"/>
      <name val="Calibri"/>
      <family val="2"/>
    </font>
    <font>
      <sz val="11"/>
      <color indexed="62"/>
      <name val="Arial"/>
      <family val="1"/>
    </font>
    <font>
      <sz val="11"/>
      <color indexed="17"/>
      <name val="Calibri"/>
      <family val="2"/>
    </font>
    <font>
      <sz val="11"/>
      <color indexed="12"/>
      <name val="Arial"/>
      <family val="2"/>
    </font>
    <font>
      <sz val="8"/>
      <color indexed="12"/>
      <name val="Arial"/>
      <family val="2"/>
    </font>
    <font>
      <sz val="11"/>
      <color indexed="8"/>
      <name val="ArialMT"/>
    </font>
    <font>
      <sz val="10"/>
      <name val="Verdana"/>
      <family val="2"/>
    </font>
    <font>
      <sz val="11"/>
      <color indexed="8"/>
      <name val="Calibri"/>
      <family val="2"/>
    </font>
    <font>
      <sz val="10"/>
      <color indexed="8"/>
      <name val="Arial"/>
      <family val="2"/>
    </font>
    <font>
      <sz val="11"/>
      <color theme="1"/>
      <name val="Calibri"/>
      <scheme val="minor"/>
    </font>
    <font>
      <b/>
      <sz val="11"/>
      <color rgb="FFFF0000"/>
      <name val="Arial"/>
      <family val="2"/>
    </font>
    <font>
      <sz val="11"/>
      <color rgb="FFFF0000"/>
      <name val="Arial"/>
      <family val="2"/>
    </font>
    <font>
      <b/>
      <sz val="12"/>
      <color theme="0"/>
      <name val="Arial"/>
      <family val="2"/>
    </font>
  </fonts>
  <fills count="25">
    <fill>
      <patternFill patternType="none"/>
    </fill>
    <fill>
      <patternFill patternType="gray125"/>
    </fill>
    <fill>
      <patternFill patternType="solid">
        <fgColor indexed="8"/>
        <bgColor indexed="18"/>
      </patternFill>
    </fill>
    <fill>
      <patternFill patternType="solid">
        <fgColor indexed="23"/>
        <bgColor indexed="55"/>
      </patternFill>
    </fill>
    <fill>
      <patternFill patternType="solid">
        <fgColor indexed="31"/>
        <bgColor indexed="27"/>
      </patternFill>
    </fill>
    <fill>
      <patternFill patternType="solid">
        <fgColor indexed="43"/>
        <bgColor indexed="47"/>
      </patternFill>
    </fill>
    <fill>
      <patternFill patternType="solid">
        <fgColor indexed="16"/>
        <bgColor indexed="60"/>
      </patternFill>
    </fill>
    <fill>
      <patternFill patternType="solid">
        <fgColor indexed="42"/>
        <bgColor indexed="41"/>
      </patternFill>
    </fill>
    <fill>
      <patternFill patternType="solid">
        <fgColor indexed="26"/>
        <bgColor indexed="9"/>
      </patternFill>
    </fill>
    <fill>
      <patternFill patternType="solid">
        <fgColor indexed="9"/>
        <bgColor indexed="26"/>
      </patternFill>
    </fill>
    <fill>
      <patternFill patternType="solid">
        <fgColor indexed="13"/>
        <bgColor indexed="34"/>
      </patternFill>
    </fill>
    <fill>
      <patternFill patternType="solid">
        <fgColor indexed="59"/>
        <bgColor indexed="63"/>
      </patternFill>
    </fill>
    <fill>
      <patternFill patternType="solid">
        <fgColor indexed="50"/>
        <bgColor indexed="51"/>
      </patternFill>
    </fill>
    <fill>
      <patternFill patternType="solid">
        <fgColor indexed="44"/>
        <bgColor indexed="24"/>
      </patternFill>
    </fill>
    <fill>
      <patternFill patternType="solid">
        <fgColor indexed="25"/>
        <bgColor indexed="23"/>
      </patternFill>
    </fill>
    <fill>
      <patternFill patternType="solid">
        <fgColor indexed="47"/>
        <bgColor indexed="43"/>
      </patternFill>
    </fill>
    <fill>
      <patternFill patternType="solid">
        <fgColor indexed="34"/>
        <bgColor indexed="13"/>
      </patternFill>
    </fill>
    <fill>
      <patternFill patternType="solid">
        <fgColor indexed="60"/>
        <bgColor indexed="16"/>
      </patternFill>
    </fill>
    <fill>
      <patternFill patternType="solid">
        <fgColor indexed="27"/>
        <bgColor indexed="31"/>
      </patternFill>
    </fill>
    <fill>
      <patternFill patternType="solid">
        <fgColor indexed="53"/>
        <bgColor indexed="29"/>
      </patternFill>
    </fill>
    <fill>
      <patternFill patternType="solid">
        <fgColor indexed="29"/>
        <bgColor indexed="53"/>
      </patternFill>
    </fill>
    <fill>
      <patternFill patternType="solid">
        <fgColor indexed="49"/>
        <bgColor indexed="11"/>
      </patternFill>
    </fill>
    <fill>
      <patternFill patternType="solid">
        <fgColor indexed="51"/>
        <bgColor indexed="50"/>
      </patternFill>
    </fill>
    <fill>
      <patternFill patternType="solid">
        <fgColor rgb="FFFFFF00"/>
        <bgColor indexed="64"/>
      </patternFill>
    </fill>
    <fill>
      <patternFill patternType="solid">
        <fgColor rgb="FF99CC00"/>
        <bgColor indexed="26"/>
      </patternFill>
    </fill>
  </fills>
  <borders count="115">
    <border>
      <left/>
      <right/>
      <top/>
      <bottom/>
      <diagonal/>
    </border>
    <border>
      <left style="thin">
        <color indexed="23"/>
      </left>
      <right style="thin">
        <color indexed="23"/>
      </right>
      <top style="thin">
        <color indexed="23"/>
      </top>
      <bottom style="thin">
        <color indexed="23"/>
      </bottom>
      <diagonal/>
    </border>
    <border>
      <left/>
      <right/>
      <top style="thin">
        <color indexed="55"/>
      </top>
      <bottom style="thin">
        <color indexed="55"/>
      </bottom>
      <diagonal/>
    </border>
    <border>
      <left/>
      <right/>
      <top style="thin">
        <color indexed="50"/>
      </top>
      <bottom style="thin">
        <color indexed="50"/>
      </bottom>
      <diagonal/>
    </border>
    <border>
      <left/>
      <right/>
      <top style="thin">
        <color indexed="8"/>
      </top>
      <bottom/>
      <diagonal/>
    </border>
    <border>
      <left/>
      <right/>
      <top/>
      <bottom style="thin">
        <color indexed="8"/>
      </bottom>
      <diagonal/>
    </border>
    <border>
      <left/>
      <right/>
      <top style="thin">
        <color indexed="55"/>
      </top>
      <bottom/>
      <diagonal/>
    </border>
    <border>
      <left/>
      <right/>
      <top/>
      <bottom style="thin">
        <color indexed="50"/>
      </bottom>
      <diagonal/>
    </border>
    <border>
      <left/>
      <right/>
      <top/>
      <bottom style="thin">
        <color indexed="55"/>
      </bottom>
      <diagonal/>
    </border>
    <border>
      <left/>
      <right/>
      <top style="thin">
        <color indexed="50"/>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thick">
        <color indexed="25"/>
      </left>
      <right style="thick">
        <color indexed="25"/>
      </right>
      <top style="thick">
        <color indexed="25"/>
      </top>
      <bottom style="thick">
        <color indexed="25"/>
      </bottom>
      <diagonal/>
    </border>
    <border>
      <left style="thick">
        <color indexed="60"/>
      </left>
      <right style="thick">
        <color indexed="60"/>
      </right>
      <top style="thick">
        <color indexed="60"/>
      </top>
      <bottom style="thick">
        <color indexed="60"/>
      </bottom>
      <diagonal/>
    </border>
    <border>
      <left/>
      <right/>
      <top style="dashed">
        <color indexed="8"/>
      </top>
      <bottom/>
      <diagonal/>
    </border>
    <border>
      <left style="dashed">
        <color indexed="8"/>
      </left>
      <right style="dashed">
        <color indexed="8"/>
      </right>
      <top/>
      <bottom/>
      <diagonal/>
    </border>
    <border>
      <left/>
      <right style="dotted">
        <color indexed="8"/>
      </right>
      <top/>
      <bottom/>
      <diagonal/>
    </border>
    <border>
      <left style="dotted">
        <color indexed="8"/>
      </left>
      <right style="dotted">
        <color indexed="8"/>
      </right>
      <top/>
      <bottom/>
      <diagonal/>
    </border>
    <border>
      <left style="dotted">
        <color indexed="8"/>
      </left>
      <right/>
      <top/>
      <bottom/>
      <diagonal/>
    </border>
    <border>
      <left style="thick">
        <color indexed="60"/>
      </left>
      <right/>
      <top style="thick">
        <color indexed="60"/>
      </top>
      <bottom/>
      <diagonal/>
    </border>
    <border>
      <left style="dashed">
        <color indexed="8"/>
      </left>
      <right style="dashed">
        <color indexed="8"/>
      </right>
      <top style="thick">
        <color indexed="60"/>
      </top>
      <bottom/>
      <diagonal/>
    </border>
    <border>
      <left/>
      <right style="thick">
        <color indexed="60"/>
      </right>
      <top style="thick">
        <color indexed="60"/>
      </top>
      <bottom/>
      <diagonal/>
    </border>
    <border>
      <left style="thick">
        <color indexed="60"/>
      </left>
      <right/>
      <top/>
      <bottom/>
      <diagonal/>
    </border>
    <border>
      <left/>
      <right style="thick">
        <color indexed="60"/>
      </right>
      <top/>
      <bottom/>
      <diagonal/>
    </border>
    <border>
      <left style="thick">
        <color indexed="60"/>
      </left>
      <right/>
      <top/>
      <bottom style="thick">
        <color indexed="60"/>
      </bottom>
      <diagonal/>
    </border>
    <border>
      <left style="dashed">
        <color indexed="8"/>
      </left>
      <right style="dashed">
        <color indexed="8"/>
      </right>
      <top/>
      <bottom style="thick">
        <color indexed="60"/>
      </bottom>
      <diagonal/>
    </border>
    <border>
      <left/>
      <right style="thick">
        <color indexed="60"/>
      </right>
      <top/>
      <bottom style="thick">
        <color indexed="60"/>
      </bottom>
      <diagonal/>
    </border>
    <border>
      <left style="medium">
        <color indexed="8"/>
      </left>
      <right/>
      <top/>
      <bottom style="medium">
        <color indexed="8"/>
      </bottom>
      <diagonal/>
    </border>
    <border>
      <left/>
      <right/>
      <top/>
      <bottom style="medium">
        <color indexed="8"/>
      </bottom>
      <diagonal/>
    </border>
    <border>
      <left/>
      <right style="dotted">
        <color indexed="8"/>
      </right>
      <top/>
      <bottom style="medium">
        <color indexed="8"/>
      </bottom>
      <diagonal/>
    </border>
    <border>
      <left style="dotted">
        <color indexed="8"/>
      </left>
      <right style="dotted">
        <color indexed="8"/>
      </right>
      <top/>
      <bottom style="medium">
        <color indexed="8"/>
      </bottom>
      <diagonal/>
    </border>
    <border>
      <left style="dotted">
        <color indexed="8"/>
      </left>
      <right/>
      <top/>
      <bottom style="medium">
        <color indexed="8"/>
      </bottom>
      <diagonal/>
    </border>
    <border>
      <left/>
      <right style="medium">
        <color indexed="8"/>
      </right>
      <top/>
      <bottom style="medium">
        <color indexed="8"/>
      </bottom>
      <diagonal/>
    </border>
    <border>
      <left/>
      <right/>
      <top style="dashed">
        <color indexed="8"/>
      </top>
      <bottom style="dashed">
        <color indexed="8"/>
      </bottom>
      <diagonal/>
    </border>
    <border>
      <left style="thick">
        <color indexed="60"/>
      </left>
      <right style="thick">
        <color indexed="60"/>
      </right>
      <top style="thick">
        <color indexed="60"/>
      </top>
      <bottom style="dashed">
        <color indexed="8"/>
      </bottom>
      <diagonal/>
    </border>
    <border>
      <left style="thick">
        <color indexed="60"/>
      </left>
      <right style="thick">
        <color indexed="60"/>
      </right>
      <top/>
      <bottom/>
      <diagonal/>
    </border>
    <border>
      <left style="thick">
        <color indexed="60"/>
      </left>
      <right style="thick">
        <color indexed="60"/>
      </right>
      <top style="dashed">
        <color indexed="8"/>
      </top>
      <bottom style="dashed">
        <color indexed="8"/>
      </bottom>
      <diagonal/>
    </border>
    <border>
      <left/>
      <right/>
      <top style="dashed">
        <color indexed="8"/>
      </top>
      <bottom style="medium">
        <color indexed="8"/>
      </bottom>
      <diagonal/>
    </border>
    <border>
      <left style="thick">
        <color indexed="60"/>
      </left>
      <right style="thick">
        <color indexed="60"/>
      </right>
      <top/>
      <bottom style="medium">
        <color indexed="8"/>
      </bottom>
      <diagonal/>
    </border>
    <border>
      <left style="thick">
        <color indexed="60"/>
      </left>
      <right style="thick">
        <color indexed="60"/>
      </right>
      <top style="dashed">
        <color indexed="8"/>
      </top>
      <bottom/>
      <diagonal/>
    </border>
    <border>
      <left style="thick">
        <color indexed="60"/>
      </left>
      <right/>
      <top/>
      <bottom style="dashed">
        <color indexed="8"/>
      </bottom>
      <diagonal/>
    </border>
    <border>
      <left/>
      <right style="thick">
        <color indexed="60"/>
      </right>
      <top/>
      <bottom style="dashed">
        <color indexed="8"/>
      </bottom>
      <diagonal/>
    </border>
    <border>
      <left style="thick">
        <color indexed="60"/>
      </left>
      <right/>
      <top style="dashed">
        <color indexed="8"/>
      </top>
      <bottom style="dashed">
        <color indexed="8"/>
      </bottom>
      <diagonal/>
    </border>
    <border>
      <left/>
      <right style="thick">
        <color indexed="60"/>
      </right>
      <top style="dashed">
        <color indexed="8"/>
      </top>
      <bottom style="dashed">
        <color indexed="8"/>
      </bottom>
      <diagonal/>
    </border>
    <border>
      <left style="thick">
        <color indexed="60"/>
      </left>
      <right/>
      <top style="dashed">
        <color indexed="8"/>
      </top>
      <bottom style="thick">
        <color indexed="60"/>
      </bottom>
      <diagonal/>
    </border>
    <border>
      <left/>
      <right style="thick">
        <color indexed="60"/>
      </right>
      <top style="dashed">
        <color indexed="8"/>
      </top>
      <bottom/>
      <diagonal/>
    </border>
    <border>
      <left style="thick">
        <color indexed="60"/>
      </left>
      <right style="thick">
        <color indexed="60"/>
      </right>
      <top/>
      <bottom style="dashed">
        <color indexed="8"/>
      </bottom>
      <diagonal/>
    </border>
    <border>
      <left style="thick">
        <color indexed="60"/>
      </left>
      <right style="thick">
        <color indexed="60"/>
      </right>
      <top/>
      <bottom style="thick">
        <color indexed="60"/>
      </bottom>
      <diagonal/>
    </border>
    <border>
      <left style="thick">
        <color indexed="60"/>
      </left>
      <right style="thick">
        <color indexed="60"/>
      </right>
      <top style="thick">
        <color indexed="60"/>
      </top>
      <bottom/>
      <diagonal/>
    </border>
    <border>
      <left style="thin">
        <color indexed="55"/>
      </left>
      <right/>
      <top style="thin">
        <color indexed="55"/>
      </top>
      <bottom/>
      <diagonal/>
    </border>
    <border>
      <left style="thin">
        <color indexed="55"/>
      </left>
      <right/>
      <top/>
      <bottom style="thin">
        <color indexed="55"/>
      </bottom>
      <diagonal/>
    </border>
    <border>
      <left/>
      <right style="thin">
        <color indexed="55"/>
      </right>
      <top/>
      <bottom style="thin">
        <color indexed="55"/>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bottom style="thick">
        <color indexed="50"/>
      </bottom>
      <diagonal/>
    </border>
    <border>
      <left/>
      <right/>
      <top/>
      <bottom style="dashed">
        <color indexed="50"/>
      </bottom>
      <diagonal/>
    </border>
    <border>
      <left/>
      <right/>
      <top style="dashed">
        <color indexed="50"/>
      </top>
      <bottom style="dashed">
        <color indexed="50"/>
      </bottom>
      <diagonal/>
    </border>
    <border>
      <left/>
      <right/>
      <top style="dashed">
        <color indexed="50"/>
      </top>
      <bottom/>
      <diagonal/>
    </border>
    <border>
      <left style="medium">
        <color indexed="8"/>
      </left>
      <right/>
      <top style="dashed">
        <color indexed="8"/>
      </top>
      <bottom style="dashed">
        <color indexed="8"/>
      </bottom>
      <diagonal/>
    </border>
    <border>
      <left/>
      <right style="medium">
        <color indexed="8"/>
      </right>
      <top style="dashed">
        <color indexed="8"/>
      </top>
      <bottom style="dashed">
        <color indexed="8"/>
      </bottom>
      <diagonal/>
    </border>
    <border>
      <left style="medium">
        <color indexed="8"/>
      </left>
      <right/>
      <top style="medium">
        <color indexed="8"/>
      </top>
      <bottom style="dotted">
        <color indexed="8"/>
      </bottom>
      <diagonal/>
    </border>
    <border>
      <left/>
      <right/>
      <top style="medium">
        <color indexed="8"/>
      </top>
      <bottom style="dotted">
        <color indexed="8"/>
      </bottom>
      <diagonal/>
    </border>
    <border>
      <left/>
      <right style="medium">
        <color indexed="8"/>
      </right>
      <top style="medium">
        <color indexed="8"/>
      </top>
      <bottom style="dotted">
        <color indexed="8"/>
      </bottom>
      <diagonal/>
    </border>
    <border>
      <left style="medium">
        <color indexed="8"/>
      </left>
      <right/>
      <top style="dotted">
        <color indexed="8"/>
      </top>
      <bottom style="dotted">
        <color indexed="8"/>
      </bottom>
      <diagonal/>
    </border>
    <border>
      <left/>
      <right style="medium">
        <color indexed="8"/>
      </right>
      <top style="dotted">
        <color indexed="8"/>
      </top>
      <bottom style="dotted">
        <color indexed="8"/>
      </bottom>
      <diagonal/>
    </border>
    <border>
      <left/>
      <right/>
      <top style="dotted">
        <color indexed="8"/>
      </top>
      <bottom style="dotted">
        <color indexed="8"/>
      </bottom>
      <diagonal/>
    </border>
    <border>
      <left/>
      <right style="medium">
        <color indexed="8"/>
      </right>
      <top style="dotted">
        <color indexed="8"/>
      </top>
      <bottom/>
      <diagonal/>
    </border>
    <border>
      <left style="medium">
        <color indexed="8"/>
      </left>
      <right/>
      <top style="dotted">
        <color indexed="8"/>
      </top>
      <bottom/>
      <diagonal/>
    </border>
    <border>
      <left/>
      <right/>
      <top style="dotted">
        <color indexed="8"/>
      </top>
      <bottom/>
      <diagonal/>
    </border>
    <border>
      <left/>
      <right style="medium">
        <color indexed="8"/>
      </right>
      <top style="dashed">
        <color indexed="8"/>
      </top>
      <bottom style="dotted">
        <color indexed="8"/>
      </bottom>
      <diagonal/>
    </border>
    <border>
      <left style="medium">
        <color indexed="8"/>
      </left>
      <right/>
      <top/>
      <bottom style="dotted">
        <color indexed="8"/>
      </bottom>
      <diagonal/>
    </border>
    <border>
      <left/>
      <right style="medium">
        <color indexed="8"/>
      </right>
      <top/>
      <bottom style="dotted">
        <color indexed="8"/>
      </bottom>
      <diagonal/>
    </border>
    <border>
      <left/>
      <right/>
      <top/>
      <bottom style="dotted">
        <color indexed="8"/>
      </bottom>
      <diagonal/>
    </border>
    <border>
      <left style="medium">
        <color indexed="8"/>
      </left>
      <right/>
      <top style="dashed">
        <color indexed="8"/>
      </top>
      <bottom style="medium">
        <color indexed="8"/>
      </bottom>
      <diagonal/>
    </border>
    <border>
      <left/>
      <right style="medium">
        <color indexed="8"/>
      </right>
      <top style="dashed">
        <color indexed="8"/>
      </top>
      <bottom style="medium">
        <color indexed="8"/>
      </bottom>
      <diagonal/>
    </border>
    <border>
      <left style="medium">
        <color indexed="8"/>
      </left>
      <right/>
      <top style="dotted">
        <color indexed="8"/>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ck">
        <color indexed="60"/>
      </left>
      <right/>
      <top style="thick">
        <color indexed="60"/>
      </top>
      <bottom style="thick">
        <color indexed="60"/>
      </bottom>
      <diagonal/>
    </border>
    <border>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hair">
        <color indexed="8"/>
      </left>
      <right style="hair">
        <color indexed="8"/>
      </right>
      <top style="hair">
        <color indexed="8"/>
      </top>
      <bottom style="hair">
        <color indexed="8"/>
      </bottom>
      <diagonal/>
    </border>
    <border>
      <left/>
      <right/>
      <top style="hair">
        <color indexed="19"/>
      </top>
      <bottom style="hair">
        <color indexed="19"/>
      </bottom>
      <diagonal/>
    </border>
    <border>
      <left/>
      <right/>
      <top/>
      <bottom style="hair">
        <color indexed="24"/>
      </bottom>
      <diagonal/>
    </border>
    <border>
      <left/>
      <right/>
      <top style="hair">
        <color indexed="19"/>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style="thin">
        <color indexed="55"/>
      </top>
      <bottom style="thin">
        <color indexed="50"/>
      </bottom>
      <diagonal/>
    </border>
    <border>
      <left/>
      <right/>
      <top style="medium">
        <color indexed="8"/>
      </top>
      <bottom style="medium">
        <color indexed="8"/>
      </bottom>
      <diagonal/>
    </border>
    <border>
      <left/>
      <right style="dotted">
        <color indexed="8"/>
      </right>
      <top style="medium">
        <color indexed="8"/>
      </top>
      <bottom/>
      <diagonal/>
    </border>
    <border>
      <left style="dotted">
        <color indexed="8"/>
      </left>
      <right style="dotted">
        <color indexed="8"/>
      </right>
      <top style="medium">
        <color indexed="8"/>
      </top>
      <bottom/>
      <diagonal/>
    </border>
    <border>
      <left style="dotted">
        <color indexed="8"/>
      </left>
      <right/>
      <top style="medium">
        <color indexed="8"/>
      </top>
      <bottom/>
      <diagonal/>
    </border>
    <border>
      <left/>
      <right/>
      <top style="medium">
        <color indexed="8"/>
      </top>
      <bottom style="dashed">
        <color indexed="8"/>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style="medium">
        <color indexed="8"/>
      </top>
      <bottom style="dashed">
        <color indexed="8"/>
      </bottom>
      <diagonal/>
    </border>
    <border>
      <left style="thin">
        <color indexed="8"/>
      </left>
      <right/>
      <top style="medium">
        <color indexed="8"/>
      </top>
      <bottom/>
      <diagonal/>
    </border>
    <border>
      <left style="thin">
        <color indexed="8"/>
      </left>
      <right/>
      <top style="thin">
        <color indexed="8"/>
      </top>
      <bottom/>
      <diagonal/>
    </border>
    <border>
      <left style="thin">
        <color rgb="FF99CC00"/>
      </left>
      <right/>
      <top style="thin">
        <color rgb="FF99CC00"/>
      </top>
      <bottom style="thin">
        <color rgb="FF99CC00"/>
      </bottom>
      <diagonal/>
    </border>
    <border>
      <left/>
      <right style="thin">
        <color rgb="FF99CC00"/>
      </right>
      <top style="thin">
        <color rgb="FF99CC00"/>
      </top>
      <bottom style="thin">
        <color rgb="FF99CC00"/>
      </bottom>
      <diagonal/>
    </border>
  </borders>
  <cellStyleXfs count="21">
    <xf numFmtId="0" fontId="0" fillId="0" borderId="0"/>
    <xf numFmtId="0" fontId="2"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3" fillId="0" borderId="0" applyNumberFormat="0" applyFill="0" applyBorder="0" applyAlignment="0" applyProtection="0"/>
    <xf numFmtId="0" fontId="4" fillId="5" borderId="0" applyNumberFormat="0" applyBorder="0" applyAlignment="0" applyProtection="0"/>
    <xf numFmtId="0" fontId="5" fillId="6" borderId="0" applyNumberFormat="0" applyBorder="0" applyAlignment="0" applyProtection="0"/>
    <xf numFmtId="0" fontId="6" fillId="0" borderId="0" applyNumberFormat="0" applyFill="0" applyBorder="0" applyAlignment="0" applyProtection="0"/>
    <xf numFmtId="0" fontId="7" fillId="7" borderId="0" applyNumberFormat="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7" fillId="0" borderId="0" applyNumberFormat="0" applyFill="0" applyBorder="0" applyAlignment="0" applyProtection="0"/>
    <xf numFmtId="166" fontId="87" fillId="0" borderId="0" applyFill="0" applyBorder="0" applyAlignment="0" applyProtection="0"/>
    <xf numFmtId="0" fontId="87" fillId="0" borderId="0"/>
    <xf numFmtId="0" fontId="11" fillId="8" borderId="1" applyNumberFormat="0" applyAlignment="0" applyProtection="0"/>
    <xf numFmtId="164" fontId="87" fillId="0" borderId="0" applyFill="0" applyBorder="0" applyAlignment="0" applyProtection="0"/>
    <xf numFmtId="0" fontId="89" fillId="0" borderId="0"/>
    <xf numFmtId="0" fontId="87" fillId="0" borderId="0" applyNumberFormat="0" applyFill="0" applyBorder="0" applyAlignment="0" applyProtection="0"/>
    <xf numFmtId="0" fontId="87" fillId="0" borderId="0" applyNumberFormat="0" applyFill="0" applyBorder="0" applyAlignment="0" applyProtection="0"/>
    <xf numFmtId="0" fontId="4" fillId="0" borderId="0" applyNumberFormat="0" applyFill="0" applyBorder="0" applyAlignment="0" applyProtection="0"/>
  </cellStyleXfs>
  <cellXfs count="636">
    <xf numFmtId="0" fontId="0" fillId="0" borderId="0" xfId="0"/>
    <xf numFmtId="0" fontId="12" fillId="0" borderId="0" xfId="0" applyFont="1" applyAlignment="1" applyProtection="1">
      <alignment vertical="center"/>
    </xf>
    <xf numFmtId="0" fontId="12" fillId="9" borderId="0" xfId="0" applyFont="1" applyFill="1" applyAlignment="1" applyProtection="1">
      <alignment vertical="center"/>
    </xf>
    <xf numFmtId="0" fontId="14" fillId="9" borderId="0" xfId="0" applyFont="1" applyFill="1" applyAlignment="1" applyProtection="1">
      <alignment horizontal="left" vertical="center"/>
    </xf>
    <xf numFmtId="0" fontId="14" fillId="9" borderId="0" xfId="0" applyFont="1" applyFill="1" applyAlignment="1" applyProtection="1">
      <alignment vertical="center"/>
    </xf>
    <xf numFmtId="0" fontId="16" fillId="9" borderId="0" xfId="0" applyFont="1" applyFill="1" applyAlignment="1" applyProtection="1">
      <alignment vertical="top" wrapText="1"/>
    </xf>
    <xf numFmtId="0" fontId="16" fillId="9" borderId="0" xfId="0" applyFont="1" applyFill="1" applyAlignment="1" applyProtection="1">
      <alignment vertical="center" wrapText="1"/>
    </xf>
    <xf numFmtId="0" fontId="20" fillId="9" borderId="0" xfId="0" applyFont="1" applyFill="1" applyAlignment="1" applyProtection="1">
      <alignment horizontal="left" vertical="center" wrapText="1"/>
    </xf>
    <xf numFmtId="0" fontId="16" fillId="9" borderId="0" xfId="0" applyFont="1" applyFill="1" applyAlignment="1" applyProtection="1">
      <alignment horizontal="left" vertical="center" wrapText="1"/>
    </xf>
    <xf numFmtId="0" fontId="12" fillId="9" borderId="0" xfId="0" applyFont="1" applyFill="1" applyBorder="1" applyAlignment="1" applyProtection="1">
      <alignment vertical="center"/>
    </xf>
    <xf numFmtId="0" fontId="16" fillId="9" borderId="0" xfId="0" applyFont="1" applyFill="1" applyAlignment="1" applyProtection="1">
      <alignment horizontal="left" vertical="center"/>
    </xf>
    <xf numFmtId="0" fontId="12" fillId="0" borderId="0" xfId="0" applyFont="1" applyAlignment="1">
      <alignment vertical="center"/>
    </xf>
    <xf numFmtId="0" fontId="12" fillId="0" borderId="0" xfId="0" applyFont="1" applyAlignment="1">
      <alignment horizontal="left" vertical="center"/>
    </xf>
    <xf numFmtId="0" fontId="12" fillId="9" borderId="0" xfId="0" applyFont="1" applyFill="1" applyAlignment="1">
      <alignment vertical="center"/>
    </xf>
    <xf numFmtId="0" fontId="12" fillId="9" borderId="0" xfId="0" applyFont="1" applyFill="1" applyAlignment="1">
      <alignment horizontal="center" vertical="center"/>
    </xf>
    <xf numFmtId="0" fontId="12" fillId="9" borderId="0" xfId="0" applyFont="1" applyFill="1" applyAlignment="1">
      <alignment horizontal="left" vertical="center"/>
    </xf>
    <xf numFmtId="0" fontId="14" fillId="9" borderId="0" xfId="0" applyFont="1" applyFill="1" applyBorder="1" applyAlignment="1">
      <alignment horizontal="left" vertical="center"/>
    </xf>
    <xf numFmtId="0" fontId="16" fillId="9" borderId="0" xfId="0" applyFont="1" applyFill="1" applyAlignment="1">
      <alignment horizontal="left" vertical="center"/>
    </xf>
    <xf numFmtId="0" fontId="23" fillId="9" borderId="0" xfId="0" applyFont="1" applyFill="1" applyAlignment="1">
      <alignment horizontal="left" vertical="center"/>
    </xf>
    <xf numFmtId="0" fontId="14" fillId="9" borderId="2" xfId="0" applyFont="1" applyFill="1" applyBorder="1" applyAlignment="1">
      <alignment horizontal="left" vertical="center" indent="1"/>
    </xf>
    <xf numFmtId="0" fontId="21" fillId="9" borderId="3" xfId="0" applyFont="1" applyFill="1" applyBorder="1" applyAlignment="1" applyProtection="1">
      <alignment horizontal="left" vertical="center" indent="1"/>
      <protection locked="0"/>
    </xf>
    <xf numFmtId="0" fontId="16" fillId="9" borderId="2" xfId="0" applyFont="1" applyFill="1" applyBorder="1" applyAlignment="1">
      <alignment horizontal="left" vertical="center" indent="1"/>
    </xf>
    <xf numFmtId="0" fontId="12" fillId="9" borderId="0" xfId="0" applyFont="1" applyFill="1" applyAlignment="1">
      <alignment horizontal="left" vertical="center" indent="1"/>
    </xf>
    <xf numFmtId="0" fontId="24" fillId="9" borderId="0" xfId="0" applyFont="1" applyFill="1" applyAlignment="1">
      <alignment horizontal="left" vertical="center" indent="1"/>
    </xf>
    <xf numFmtId="0" fontId="25" fillId="9" borderId="0" xfId="0" applyFont="1" applyFill="1" applyAlignment="1">
      <alignment horizontal="left" vertical="center" indent="1"/>
    </xf>
    <xf numFmtId="0" fontId="21" fillId="9" borderId="0" xfId="0" applyFont="1" applyFill="1" applyAlignment="1">
      <alignment horizontal="left" vertical="center" indent="1"/>
    </xf>
    <xf numFmtId="0" fontId="21" fillId="9" borderId="0" xfId="0" applyFont="1" applyFill="1" applyBorder="1" applyAlignment="1">
      <alignment horizontal="left" vertical="center" indent="1"/>
    </xf>
    <xf numFmtId="0" fontId="14" fillId="9" borderId="2" xfId="0" applyFont="1" applyFill="1" applyBorder="1" applyAlignment="1">
      <alignment horizontal="left" vertical="center" wrapText="1" indent="1"/>
    </xf>
    <xf numFmtId="0" fontId="25" fillId="9" borderId="0" xfId="0" applyFont="1" applyFill="1" applyAlignment="1">
      <alignment vertical="center"/>
    </xf>
    <xf numFmtId="0" fontId="21" fillId="9" borderId="0" xfId="0" applyFont="1" applyFill="1" applyAlignment="1">
      <alignment horizontal="left" vertical="center"/>
    </xf>
    <xf numFmtId="0" fontId="16" fillId="9" borderId="2" xfId="0" applyFont="1" applyFill="1" applyBorder="1" applyAlignment="1">
      <alignment horizontal="left" vertical="center" wrapText="1" indent="1"/>
    </xf>
    <xf numFmtId="0" fontId="12" fillId="0" borderId="0" xfId="0" applyFont="1" applyAlignment="1" applyProtection="1">
      <alignment horizontal="left" vertical="center"/>
    </xf>
    <xf numFmtId="0" fontId="12" fillId="9" borderId="0" xfId="0" applyFont="1" applyFill="1" applyAlignment="1" applyProtection="1">
      <alignment horizontal="center" vertical="center"/>
    </xf>
    <xf numFmtId="0" fontId="12" fillId="9" borderId="0" xfId="0" applyFont="1" applyFill="1" applyAlignment="1" applyProtection="1">
      <alignment horizontal="left" vertical="center"/>
    </xf>
    <xf numFmtId="0" fontId="14" fillId="9" borderId="2" xfId="0" applyFont="1" applyFill="1" applyBorder="1" applyAlignment="1" applyProtection="1">
      <alignment horizontal="left" vertical="center" indent="1"/>
    </xf>
    <xf numFmtId="0" fontId="21" fillId="9" borderId="3" xfId="0" applyFont="1" applyFill="1" applyBorder="1" applyAlignment="1" applyProtection="1">
      <alignment horizontal="left" vertical="center" indent="1"/>
    </xf>
    <xf numFmtId="0" fontId="16" fillId="9" borderId="2" xfId="0" applyFont="1" applyFill="1" applyBorder="1" applyAlignment="1" applyProtection="1">
      <alignment horizontal="left" vertical="center" indent="1"/>
    </xf>
    <xf numFmtId="3" fontId="21" fillId="9" borderId="3" xfId="0" applyNumberFormat="1" applyFont="1" applyFill="1" applyBorder="1" applyAlignment="1" applyProtection="1">
      <alignment horizontal="left" vertical="center" indent="1"/>
      <protection locked="0"/>
    </xf>
    <xf numFmtId="0" fontId="26" fillId="0" borderId="0" xfId="0" applyFont="1" applyAlignment="1" applyProtection="1">
      <alignment vertical="center"/>
    </xf>
    <xf numFmtId="3" fontId="21" fillId="9" borderId="3" xfId="0" applyNumberFormat="1" applyFont="1" applyFill="1" applyBorder="1" applyAlignment="1" applyProtection="1">
      <alignment horizontal="left" vertical="center" indent="1"/>
    </xf>
    <xf numFmtId="3" fontId="12" fillId="9" borderId="3" xfId="0" applyNumberFormat="1" applyFont="1" applyFill="1" applyBorder="1" applyAlignment="1" applyProtection="1">
      <alignment horizontal="left" vertical="center" indent="1"/>
      <protection locked="0"/>
    </xf>
    <xf numFmtId="3" fontId="16" fillId="9" borderId="2" xfId="0" applyNumberFormat="1" applyFont="1" applyFill="1" applyBorder="1" applyAlignment="1" applyProtection="1">
      <alignment horizontal="left" vertical="center" indent="1"/>
    </xf>
    <xf numFmtId="0" fontId="25" fillId="9" borderId="0" xfId="0" applyFont="1" applyFill="1" applyAlignment="1" applyProtection="1">
      <alignment horizontal="left" vertical="center" indent="1"/>
    </xf>
    <xf numFmtId="0" fontId="21" fillId="9" borderId="0" xfId="0" applyFont="1" applyFill="1" applyAlignment="1" applyProtection="1">
      <alignment horizontal="left" vertical="center" indent="1"/>
    </xf>
    <xf numFmtId="0" fontId="21" fillId="9" borderId="0" xfId="0" applyFont="1" applyFill="1" applyBorder="1" applyAlignment="1" applyProtection="1">
      <alignment horizontal="left" vertical="center" indent="1"/>
    </xf>
    <xf numFmtId="164" fontId="21" fillId="9" borderId="3" xfId="0" applyNumberFormat="1" applyFont="1" applyFill="1" applyBorder="1" applyAlignment="1" applyProtection="1">
      <alignment horizontal="left" vertical="center" indent="1"/>
      <protection locked="0"/>
    </xf>
    <xf numFmtId="0" fontId="24" fillId="0" borderId="0" xfId="0" applyFont="1" applyAlignment="1" applyProtection="1">
      <alignment vertical="center"/>
    </xf>
    <xf numFmtId="3" fontId="21" fillId="9" borderId="0" xfId="0" applyNumberFormat="1" applyFont="1" applyFill="1" applyBorder="1" applyAlignment="1" applyProtection="1">
      <alignment horizontal="left" vertical="center" indent="1"/>
    </xf>
    <xf numFmtId="0" fontId="16" fillId="9" borderId="0" xfId="0" applyFont="1" applyFill="1" applyBorder="1" applyAlignment="1" applyProtection="1">
      <alignment horizontal="left" vertical="center" indent="1"/>
    </xf>
    <xf numFmtId="164" fontId="21" fillId="9" borderId="0" xfId="0" applyNumberFormat="1" applyFont="1" applyFill="1" applyBorder="1" applyAlignment="1" applyProtection="1">
      <alignment horizontal="left" vertical="center" indent="1"/>
      <protection locked="0"/>
    </xf>
    <xf numFmtId="164" fontId="26" fillId="9" borderId="0" xfId="0" applyNumberFormat="1" applyFont="1" applyFill="1" applyBorder="1" applyAlignment="1" applyProtection="1">
      <alignment horizontal="left" vertical="center" indent="1"/>
    </xf>
    <xf numFmtId="0" fontId="12" fillId="0" borderId="0" xfId="0" applyFont="1" applyAlignment="1">
      <alignment horizontal="center" vertical="center"/>
    </xf>
    <xf numFmtId="0" fontId="12" fillId="0" borderId="0" xfId="0" applyFont="1" applyAlignment="1">
      <alignment horizontal="left" vertical="center" indent="1"/>
    </xf>
    <xf numFmtId="164" fontId="12" fillId="0" borderId="0" xfId="0" applyNumberFormat="1" applyFont="1" applyAlignment="1">
      <alignment horizontal="center" vertical="center"/>
    </xf>
    <xf numFmtId="1" fontId="12" fillId="0" borderId="0" xfId="0" applyNumberFormat="1" applyFont="1" applyAlignment="1">
      <alignment horizontal="center" vertical="center"/>
    </xf>
    <xf numFmtId="1" fontId="20" fillId="0" borderId="0" xfId="0" applyNumberFormat="1" applyFont="1" applyAlignment="1">
      <alignment horizontal="center" vertical="center"/>
    </xf>
    <xf numFmtId="164" fontId="12" fillId="9" borderId="0" xfId="0" applyNumberFormat="1" applyFont="1" applyFill="1" applyAlignment="1">
      <alignment horizontal="center" vertical="center"/>
    </xf>
    <xf numFmtId="1" fontId="12" fillId="9" borderId="0" xfId="0" applyNumberFormat="1" applyFont="1" applyFill="1" applyAlignment="1">
      <alignment horizontal="center" vertical="center"/>
    </xf>
    <xf numFmtId="1" fontId="20" fillId="9" borderId="0" xfId="0" applyNumberFormat="1" applyFont="1" applyFill="1" applyAlignment="1">
      <alignment horizontal="center" vertical="center"/>
    </xf>
    <xf numFmtId="3" fontId="12" fillId="9" borderId="0" xfId="0" applyNumberFormat="1" applyFont="1" applyFill="1" applyAlignment="1">
      <alignment horizontal="center" vertical="center"/>
    </xf>
    <xf numFmtId="0" fontId="13" fillId="9" borderId="0" xfId="0" applyFont="1" applyFill="1" applyBorder="1" applyAlignment="1">
      <alignment horizontal="left" vertical="top"/>
    </xf>
    <xf numFmtId="0" fontId="13" fillId="9" borderId="0" xfId="0" applyFont="1" applyFill="1" applyBorder="1" applyAlignment="1">
      <alignment vertical="top"/>
    </xf>
    <xf numFmtId="0" fontId="12" fillId="0" borderId="4" xfId="0" applyFont="1" applyBorder="1" applyAlignment="1">
      <alignment horizontal="center" vertical="center"/>
    </xf>
    <xf numFmtId="0" fontId="12" fillId="10" borderId="0" xfId="0" applyFont="1" applyFill="1" applyAlignment="1">
      <alignment vertical="center"/>
    </xf>
    <xf numFmtId="0" fontId="12" fillId="0" borderId="0" xfId="0" applyFont="1" applyFill="1" applyAlignment="1">
      <alignment vertical="center"/>
    </xf>
    <xf numFmtId="0" fontId="16" fillId="9" borderId="0" xfId="0" applyFont="1" applyFill="1" applyBorder="1" applyAlignment="1">
      <alignment horizontal="left" vertical="center"/>
    </xf>
    <xf numFmtId="0" fontId="12" fillId="0" borderId="5" xfId="0" applyFont="1" applyBorder="1" applyAlignment="1">
      <alignment horizontal="center" vertical="center"/>
    </xf>
    <xf numFmtId="0" fontId="22" fillId="11" borderId="6" xfId="0" applyFont="1" applyFill="1" applyBorder="1" applyAlignment="1">
      <alignment horizontal="left" vertical="center" indent="1"/>
    </xf>
    <xf numFmtId="0" fontId="22" fillId="11" borderId="6" xfId="0" applyFont="1" applyFill="1" applyBorder="1" applyAlignment="1">
      <alignment horizontal="center" vertical="center"/>
    </xf>
    <xf numFmtId="164" fontId="22" fillId="11" borderId="6" xfId="0" applyNumberFormat="1" applyFont="1" applyFill="1" applyBorder="1" applyAlignment="1">
      <alignment horizontal="center" vertical="center"/>
    </xf>
    <xf numFmtId="1" fontId="22" fillId="11" borderId="6" xfId="0" applyNumberFormat="1" applyFont="1" applyFill="1" applyBorder="1" applyAlignment="1">
      <alignment horizontal="center" vertical="center"/>
    </xf>
    <xf numFmtId="0" fontId="28" fillId="0" borderId="0" xfId="0" applyFont="1" applyAlignment="1">
      <alignment vertical="center" wrapText="1"/>
    </xf>
    <xf numFmtId="0" fontId="29" fillId="0" borderId="0" xfId="0" applyFont="1" applyAlignment="1">
      <alignment vertical="center" wrapText="1"/>
    </xf>
    <xf numFmtId="0" fontId="22" fillId="12" borderId="3" xfId="0" applyFont="1" applyFill="1" applyBorder="1" applyAlignment="1">
      <alignment horizontal="left" vertical="center" indent="1"/>
    </xf>
    <xf numFmtId="164" fontId="22" fillId="12" borderId="3" xfId="0" applyNumberFormat="1" applyFont="1" applyFill="1" applyBorder="1" applyAlignment="1">
      <alignment horizontal="center" vertical="center"/>
    </xf>
    <xf numFmtId="1" fontId="22" fillId="12" borderId="3" xfId="0" applyNumberFormat="1" applyFont="1" applyFill="1" applyBorder="1" applyAlignment="1">
      <alignment horizontal="center" vertical="center"/>
    </xf>
    <xf numFmtId="164" fontId="30" fillId="0" borderId="0" xfId="16" applyFont="1" applyFill="1" applyBorder="1" applyAlignment="1" applyProtection="1">
      <alignment vertical="center"/>
    </xf>
    <xf numFmtId="0" fontId="14" fillId="12" borderId="3" xfId="0" applyFont="1" applyFill="1" applyBorder="1" applyAlignment="1">
      <alignment horizontal="left" vertical="center" indent="1"/>
    </xf>
    <xf numFmtId="0" fontId="14" fillId="12" borderId="3" xfId="0" applyFont="1" applyFill="1" applyBorder="1" applyAlignment="1">
      <alignment horizontal="left" vertical="center"/>
    </xf>
    <xf numFmtId="165" fontId="14" fillId="12" borderId="7" xfId="0" applyNumberFormat="1" applyFont="1" applyFill="1" applyBorder="1" applyAlignment="1" applyProtection="1">
      <alignment horizontal="center" vertical="center"/>
      <protection locked="0"/>
    </xf>
    <xf numFmtId="164" fontId="31" fillId="12" borderId="7" xfId="0" applyNumberFormat="1" applyFont="1" applyFill="1" applyBorder="1" applyAlignment="1" applyProtection="1">
      <alignment horizontal="center" vertical="center"/>
      <protection locked="0"/>
    </xf>
    <xf numFmtId="0" fontId="15" fillId="12" borderId="3" xfId="0" applyFont="1" applyFill="1" applyBorder="1" applyAlignment="1">
      <alignment horizontal="left" vertical="center"/>
    </xf>
    <xf numFmtId="164" fontId="14" fillId="12" borderId="3" xfId="0" applyNumberFormat="1" applyFont="1" applyFill="1" applyBorder="1" applyAlignment="1">
      <alignment horizontal="center" vertical="center"/>
    </xf>
    <xf numFmtId="1" fontId="14" fillId="12" borderId="3" xfId="0" applyNumberFormat="1" applyFont="1" applyFill="1" applyBorder="1" applyAlignment="1">
      <alignment horizontal="center" vertical="center"/>
    </xf>
    <xf numFmtId="0" fontId="32" fillId="0" borderId="0" xfId="0" applyNumberFormat="1" applyFont="1" applyAlignment="1" applyProtection="1">
      <alignment vertical="center"/>
    </xf>
    <xf numFmtId="0" fontId="16" fillId="9" borderId="8" xfId="0" applyFont="1" applyFill="1" applyBorder="1" applyAlignment="1">
      <alignment horizontal="left" vertical="center" wrapText="1" indent="1"/>
    </xf>
    <xf numFmtId="165" fontId="21" fillId="9" borderId="7" xfId="0" applyNumberFormat="1" applyFont="1" applyFill="1" applyBorder="1" applyAlignment="1" applyProtection="1">
      <alignment horizontal="center" vertical="center"/>
      <protection locked="0"/>
    </xf>
    <xf numFmtId="164" fontId="33" fillId="9" borderId="7" xfId="0" applyNumberFormat="1" applyFont="1" applyFill="1" applyBorder="1" applyAlignment="1" applyProtection="1">
      <alignment horizontal="center" vertical="center"/>
      <protection locked="0"/>
    </xf>
    <xf numFmtId="0" fontId="34" fillId="9" borderId="7" xfId="0" applyFont="1" applyFill="1" applyBorder="1" applyAlignment="1" applyProtection="1">
      <alignment horizontal="left" vertical="center" wrapText="1"/>
      <protection locked="0"/>
    </xf>
    <xf numFmtId="0" fontId="33" fillId="9" borderId="7" xfId="0" applyFont="1" applyFill="1" applyBorder="1" applyAlignment="1" applyProtection="1">
      <alignment horizontal="center" vertical="center" wrapText="1"/>
      <protection locked="0"/>
    </xf>
    <xf numFmtId="1" fontId="21" fillId="9" borderId="3" xfId="0" applyNumberFormat="1" applyFont="1" applyFill="1" applyBorder="1" applyAlignment="1" applyProtection="1">
      <alignment horizontal="center" vertical="center"/>
      <protection locked="0"/>
    </xf>
    <xf numFmtId="1" fontId="35" fillId="9" borderId="8" xfId="0" applyNumberFormat="1" applyFont="1" applyFill="1" applyBorder="1" applyAlignment="1">
      <alignment horizontal="center" vertical="center"/>
    </xf>
    <xf numFmtId="0" fontId="36" fillId="12" borderId="3" xfId="0" applyFont="1" applyFill="1" applyBorder="1" applyAlignment="1">
      <alignment horizontal="left" vertical="center"/>
    </xf>
    <xf numFmtId="0" fontId="31" fillId="12" borderId="3" xfId="0" applyFont="1" applyFill="1" applyBorder="1" applyAlignment="1">
      <alignment horizontal="left" vertical="center"/>
    </xf>
    <xf numFmtId="165" fontId="22" fillId="12" borderId="3" xfId="0" applyNumberFormat="1" applyFont="1" applyFill="1" applyBorder="1" applyAlignment="1" applyProtection="1">
      <alignment horizontal="left" vertical="center" indent="1"/>
      <protection locked="0"/>
    </xf>
    <xf numFmtId="0" fontId="37" fillId="12" borderId="3" xfId="0" applyFont="1" applyFill="1" applyBorder="1" applyAlignment="1">
      <alignment horizontal="left" vertical="center" indent="1"/>
    </xf>
    <xf numFmtId="164" fontId="31" fillId="12" borderId="7" xfId="0" applyNumberFormat="1" applyFont="1" applyFill="1" applyBorder="1" applyAlignment="1" applyProtection="1">
      <alignment horizontal="center" vertical="center"/>
    </xf>
    <xf numFmtId="0" fontId="12" fillId="0" borderId="0" xfId="0" applyNumberFormat="1" applyFont="1" applyAlignment="1">
      <alignment vertical="center"/>
    </xf>
    <xf numFmtId="0" fontId="16" fillId="9" borderId="8" xfId="0" applyFont="1" applyFill="1" applyBorder="1" applyAlignment="1">
      <alignment horizontal="left" vertical="center" indent="1"/>
    </xf>
    <xf numFmtId="164" fontId="33" fillId="9" borderId="7" xfId="0" applyNumberFormat="1" applyFont="1" applyFill="1" applyBorder="1" applyAlignment="1" applyProtection="1">
      <alignment horizontal="center" vertical="center"/>
    </xf>
    <xf numFmtId="165" fontId="0" fillId="0" borderId="0" xfId="0" applyNumberFormat="1" applyAlignment="1" applyProtection="1">
      <alignment horizontal="left" vertical="center" indent="1"/>
      <protection locked="0"/>
    </xf>
    <xf numFmtId="0" fontId="38" fillId="0" borderId="0" xfId="0" applyFont="1" applyAlignment="1" applyProtection="1">
      <alignment horizontal="left" vertical="center" indent="1"/>
    </xf>
    <xf numFmtId="165" fontId="21" fillId="9" borderId="3" xfId="0" applyNumberFormat="1" applyFont="1" applyFill="1" applyBorder="1" applyAlignment="1" applyProtection="1">
      <alignment horizontal="center" vertical="center"/>
      <protection locked="0"/>
    </xf>
    <xf numFmtId="0" fontId="37" fillId="12" borderId="3" xfId="0" applyFont="1" applyFill="1" applyBorder="1" applyAlignment="1" applyProtection="1">
      <alignment horizontal="left" vertical="center" indent="1"/>
    </xf>
    <xf numFmtId="0" fontId="16" fillId="9" borderId="6" xfId="0" applyFont="1" applyFill="1" applyBorder="1" applyAlignment="1">
      <alignment horizontal="left" vertical="center" wrapText="1" indent="1"/>
    </xf>
    <xf numFmtId="0" fontId="16" fillId="9" borderId="6" xfId="0" applyFont="1" applyFill="1" applyBorder="1" applyAlignment="1">
      <alignment horizontal="left" vertical="center" indent="1"/>
    </xf>
    <xf numFmtId="0" fontId="16" fillId="9" borderId="0" xfId="0" applyFont="1" applyFill="1" applyBorder="1" applyAlignment="1">
      <alignment horizontal="left" vertical="center" indent="1"/>
    </xf>
    <xf numFmtId="0" fontId="16" fillId="9" borderId="0" xfId="0" applyFont="1" applyFill="1" applyBorder="1" applyAlignment="1">
      <alignment horizontal="left" vertical="center" wrapText="1" indent="1"/>
    </xf>
    <xf numFmtId="0" fontId="33" fillId="9" borderId="9" xfId="0" applyFont="1" applyFill="1" applyBorder="1" applyAlignment="1" applyProtection="1">
      <alignment horizontal="center" vertical="center" wrapText="1"/>
      <protection locked="0"/>
    </xf>
    <xf numFmtId="0" fontId="14" fillId="12" borderId="3" xfId="0" applyFont="1" applyFill="1" applyBorder="1" applyAlignment="1">
      <alignment horizontal="left" vertical="center" wrapText="1"/>
    </xf>
    <xf numFmtId="0" fontId="31" fillId="12" borderId="3" xfId="0" applyFont="1" applyFill="1" applyBorder="1" applyAlignment="1">
      <alignment horizontal="center" vertical="center"/>
    </xf>
    <xf numFmtId="0" fontId="36" fillId="12" borderId="3" xfId="0" applyFont="1" applyFill="1" applyBorder="1" applyAlignment="1">
      <alignment horizontal="left" vertical="center" wrapText="1"/>
    </xf>
    <xf numFmtId="0" fontId="31" fillId="12" borderId="3" xfId="0" applyFont="1" applyFill="1" applyBorder="1" applyAlignment="1">
      <alignment horizontal="left" vertical="center" wrapText="1"/>
    </xf>
    <xf numFmtId="165" fontId="12" fillId="0" borderId="0" xfId="0" applyNumberFormat="1" applyFont="1" applyAlignment="1">
      <alignment horizontal="center" vertical="center"/>
    </xf>
    <xf numFmtId="0" fontId="39" fillId="0" borderId="0" xfId="0" applyFont="1" applyAlignment="1">
      <alignment wrapText="1"/>
    </xf>
    <xf numFmtId="0" fontId="39" fillId="0" borderId="0" xfId="0" applyFont="1" applyAlignment="1">
      <alignment horizontal="center" wrapText="1"/>
    </xf>
    <xf numFmtId="0" fontId="39" fillId="9" borderId="0" xfId="0" applyFont="1" applyFill="1" applyAlignment="1">
      <alignment wrapText="1"/>
    </xf>
    <xf numFmtId="0" fontId="39" fillId="9" borderId="0" xfId="0" applyFont="1" applyFill="1" applyAlignment="1">
      <alignment horizontal="center" wrapText="1"/>
    </xf>
    <xf numFmtId="0" fontId="39" fillId="9" borderId="0" xfId="0" applyFont="1" applyFill="1" applyBorder="1" applyAlignment="1">
      <alignment wrapText="1"/>
    </xf>
    <xf numFmtId="0" fontId="40" fillId="9" borderId="0" xfId="0" applyFont="1" applyFill="1" applyBorder="1" applyAlignment="1">
      <alignment vertical="center" wrapText="1"/>
    </xf>
    <xf numFmtId="0" fontId="40" fillId="9" borderId="10" xfId="0" applyFont="1" applyFill="1" applyBorder="1" applyAlignment="1">
      <alignment vertical="center" wrapText="1"/>
    </xf>
    <xf numFmtId="0" fontId="40" fillId="9" borderId="11" xfId="0" applyFont="1" applyFill="1" applyBorder="1" applyAlignment="1">
      <alignment vertical="center" wrapText="1"/>
    </xf>
    <xf numFmtId="0" fontId="40" fillId="9" borderId="11" xfId="0" applyFont="1" applyFill="1" applyBorder="1" applyAlignment="1">
      <alignment horizontal="center" vertical="center" wrapText="1"/>
    </xf>
    <xf numFmtId="0" fontId="40" fillId="9" borderId="12" xfId="0" applyFont="1" applyFill="1" applyBorder="1" applyAlignment="1">
      <alignment vertical="center" wrapText="1"/>
    </xf>
    <xf numFmtId="0" fontId="41" fillId="9" borderId="0" xfId="0" applyFont="1" applyFill="1" applyBorder="1" applyAlignment="1" applyProtection="1">
      <alignment vertical="center" wrapText="1"/>
    </xf>
    <xf numFmtId="0" fontId="42" fillId="9" borderId="13" xfId="0" applyFont="1" applyFill="1" applyBorder="1" applyAlignment="1">
      <alignment horizontal="right" wrapText="1" indent="1"/>
    </xf>
    <xf numFmtId="0" fontId="42" fillId="9" borderId="0" xfId="0" applyFont="1" applyFill="1" applyBorder="1" applyAlignment="1">
      <alignment horizontal="right" wrapText="1" indent="1"/>
    </xf>
    <xf numFmtId="0" fontId="39" fillId="9" borderId="14" xfId="0" applyFont="1" applyFill="1" applyBorder="1" applyAlignment="1">
      <alignment wrapText="1"/>
    </xf>
    <xf numFmtId="0" fontId="41" fillId="9" borderId="0" xfId="0" applyFont="1" applyFill="1" applyBorder="1" applyAlignment="1" applyProtection="1">
      <alignment horizontal="left" vertical="center" wrapText="1"/>
    </xf>
    <xf numFmtId="0" fontId="41" fillId="9" borderId="13" xfId="0" applyFont="1" applyFill="1" applyBorder="1" applyAlignment="1" applyProtection="1">
      <alignment horizontal="left" vertical="center" wrapText="1"/>
    </xf>
    <xf numFmtId="3" fontId="46" fillId="13" borderId="0" xfId="0" applyNumberFormat="1" applyFont="1" applyFill="1" applyBorder="1" applyAlignment="1" applyProtection="1">
      <alignment horizontal="center" vertical="center" wrapText="1"/>
    </xf>
    <xf numFmtId="3" fontId="49" fillId="14" borderId="15" xfId="0" applyNumberFormat="1" applyFont="1" applyFill="1" applyBorder="1" applyAlignment="1" applyProtection="1">
      <alignment horizontal="center" vertical="center" wrapText="1"/>
    </xf>
    <xf numFmtId="0" fontId="42" fillId="9" borderId="0" xfId="0" applyFont="1" applyFill="1" applyBorder="1" applyAlignment="1">
      <alignment horizontal="left" vertical="top" wrapText="1"/>
    </xf>
    <xf numFmtId="0" fontId="42" fillId="9" borderId="13" xfId="0" applyFont="1" applyFill="1" applyBorder="1" applyAlignment="1">
      <alignment horizontal="left" vertical="top" wrapText="1"/>
    </xf>
    <xf numFmtId="3" fontId="50" fillId="13" borderId="0" xfId="0" applyNumberFormat="1" applyFont="1" applyFill="1" applyBorder="1" applyAlignment="1" applyProtection="1">
      <alignment horizontal="center" vertical="center" wrapText="1"/>
    </xf>
    <xf numFmtId="3" fontId="51" fillId="13" borderId="0" xfId="0" applyNumberFormat="1" applyFont="1" applyFill="1" applyBorder="1" applyAlignment="1" applyProtection="1">
      <alignment vertical="center" wrapText="1"/>
    </xf>
    <xf numFmtId="1" fontId="47" fillId="13" borderId="0" xfId="0" applyNumberFormat="1" applyFont="1" applyFill="1" applyBorder="1" applyAlignment="1" applyProtection="1">
      <alignment horizontal="center" vertical="center" wrapText="1"/>
    </xf>
    <xf numFmtId="0" fontId="42" fillId="9" borderId="10" xfId="0" applyFont="1" applyFill="1" applyBorder="1" applyAlignment="1">
      <alignment horizontal="left" vertical="top" wrapText="1"/>
    </xf>
    <xf numFmtId="0" fontId="42" fillId="9" borderId="11" xfId="0" applyFont="1" applyFill="1" applyBorder="1" applyAlignment="1">
      <alignment horizontal="left" vertical="top" wrapText="1"/>
    </xf>
    <xf numFmtId="0" fontId="49" fillId="12" borderId="11" xfId="0" applyFont="1" applyFill="1" applyBorder="1" applyAlignment="1" applyProtection="1">
      <alignment vertical="center" wrapText="1"/>
    </xf>
    <xf numFmtId="3" fontId="47" fillId="9" borderId="16" xfId="0" applyNumberFormat="1" applyFont="1" applyFill="1" applyBorder="1" applyAlignment="1" applyProtection="1">
      <alignment horizontal="right" vertical="center" wrapText="1"/>
    </xf>
    <xf numFmtId="0" fontId="39" fillId="9" borderId="12" xfId="0" applyFont="1" applyFill="1" applyBorder="1" applyAlignment="1">
      <alignment wrapText="1"/>
    </xf>
    <xf numFmtId="0" fontId="39" fillId="0" borderId="13" xfId="0" applyFont="1" applyBorder="1" applyAlignment="1">
      <alignment wrapText="1"/>
    </xf>
    <xf numFmtId="0" fontId="39" fillId="0" borderId="0" xfId="0" applyFont="1" applyBorder="1" applyAlignment="1">
      <alignment wrapText="1"/>
    </xf>
    <xf numFmtId="0" fontId="49" fillId="12" borderId="0" xfId="0" applyFont="1" applyFill="1" applyBorder="1" applyAlignment="1" applyProtection="1">
      <alignment vertical="center" wrapText="1"/>
    </xf>
    <xf numFmtId="0" fontId="49" fillId="14" borderId="0" xfId="0" applyFont="1" applyFill="1" applyBorder="1" applyAlignment="1" applyProtection="1">
      <alignment vertical="center" wrapText="1"/>
    </xf>
    <xf numFmtId="0" fontId="49" fillId="14" borderId="18" xfId="0" applyFont="1" applyFill="1" applyBorder="1" applyAlignment="1" applyProtection="1">
      <alignment vertical="center" wrapText="1"/>
    </xf>
    <xf numFmtId="0" fontId="41" fillId="12" borderId="19" xfId="0" applyFont="1" applyFill="1" applyBorder="1" applyAlignment="1" applyProtection="1">
      <alignment horizontal="center" vertical="center" wrapText="1"/>
    </xf>
    <xf numFmtId="0" fontId="41" fillId="12" borderId="20" xfId="0" applyFont="1" applyFill="1" applyBorder="1" applyAlignment="1" applyProtection="1">
      <alignment horizontal="center" vertical="center" wrapText="1"/>
    </xf>
    <xf numFmtId="0" fontId="41" fillId="12" borderId="21" xfId="0" applyFont="1" applyFill="1" applyBorder="1" applyAlignment="1" applyProtection="1">
      <alignment horizontal="center" vertical="center" wrapText="1"/>
    </xf>
    <xf numFmtId="3" fontId="47" fillId="9" borderId="22" xfId="0" applyNumberFormat="1" applyFont="1" applyFill="1" applyBorder="1" applyAlignment="1" applyProtection="1">
      <alignment horizontal="left" vertical="center" wrapText="1"/>
    </xf>
    <xf numFmtId="3" fontId="47" fillId="9" borderId="23" xfId="0" applyNumberFormat="1" applyFont="1" applyFill="1" applyBorder="1" applyAlignment="1" applyProtection="1">
      <alignment horizontal="left" vertical="center" wrapText="1"/>
    </xf>
    <xf numFmtId="167" fontId="47" fillId="9" borderId="24" xfId="13" applyNumberFormat="1" applyFont="1" applyFill="1" applyBorder="1" applyAlignment="1" applyProtection="1">
      <alignment horizontal="left" vertical="center" wrapText="1"/>
    </xf>
    <xf numFmtId="0" fontId="49" fillId="12" borderId="19" xfId="0" applyFont="1" applyFill="1" applyBorder="1" applyAlignment="1" applyProtection="1">
      <alignment horizontal="center" vertical="center" wrapText="1"/>
    </xf>
    <xf numFmtId="0" fontId="49" fillId="12" borderId="20" xfId="0" applyFont="1" applyFill="1" applyBorder="1" applyAlignment="1" applyProtection="1">
      <alignment horizontal="center" vertical="center" wrapText="1"/>
    </xf>
    <xf numFmtId="0" fontId="49" fillId="12" borderId="21" xfId="0" applyFont="1" applyFill="1" applyBorder="1" applyAlignment="1" applyProtection="1">
      <alignment horizontal="center" vertical="center" wrapText="1"/>
    </xf>
    <xf numFmtId="0" fontId="49" fillId="9" borderId="13" xfId="0" applyFont="1" applyFill="1" applyBorder="1" applyAlignment="1" applyProtection="1">
      <alignment horizontal="left" vertical="center" wrapText="1"/>
    </xf>
    <xf numFmtId="0" fontId="49" fillId="9" borderId="0" xfId="0" applyFont="1" applyFill="1" applyBorder="1" applyAlignment="1" applyProtection="1">
      <alignment horizontal="left" vertical="center" wrapText="1"/>
    </xf>
    <xf numFmtId="3" fontId="47" fillId="9" borderId="25" xfId="0" applyNumberFormat="1" applyFont="1" applyFill="1" applyBorder="1" applyAlignment="1" applyProtection="1">
      <alignment horizontal="left" vertical="center" wrapText="1"/>
    </xf>
    <xf numFmtId="0" fontId="47" fillId="9" borderId="18" xfId="0" applyFont="1" applyFill="1" applyBorder="1" applyAlignment="1" applyProtection="1">
      <alignment horizontal="left" vertical="center" wrapText="1"/>
    </xf>
    <xf numFmtId="167" fontId="47" fillId="9" borderId="26" xfId="13" applyNumberFormat="1" applyFont="1" applyFill="1" applyBorder="1" applyAlignment="1" applyProtection="1">
      <alignment horizontal="left" vertical="center" wrapText="1"/>
    </xf>
    <xf numFmtId="165" fontId="38" fillId="13" borderId="19" xfId="13" applyNumberFormat="1" applyFont="1" applyFill="1" applyBorder="1" applyAlignment="1" applyProtection="1">
      <alignment horizontal="center" vertical="center" wrapText="1"/>
    </xf>
    <xf numFmtId="165" fontId="38" fillId="13" borderId="20" xfId="13" applyNumberFormat="1" applyFont="1" applyFill="1" applyBorder="1" applyAlignment="1" applyProtection="1">
      <alignment horizontal="center" vertical="center" wrapText="1"/>
    </xf>
    <xf numFmtId="165" fontId="39" fillId="13" borderId="20" xfId="0" applyNumberFormat="1" applyFont="1" applyFill="1" applyBorder="1" applyAlignment="1">
      <alignment horizontal="center" vertical="center" wrapText="1"/>
    </xf>
    <xf numFmtId="165" fontId="39" fillId="13" borderId="21" xfId="0" applyNumberFormat="1" applyFont="1" applyFill="1" applyBorder="1" applyAlignment="1">
      <alignment horizontal="center" vertical="center" wrapText="1"/>
    </xf>
    <xf numFmtId="1" fontId="54" fillId="9" borderId="14" xfId="0" applyNumberFormat="1" applyFont="1" applyFill="1" applyBorder="1" applyAlignment="1">
      <alignment wrapText="1"/>
    </xf>
    <xf numFmtId="0" fontId="47" fillId="9" borderId="25" xfId="0" applyFont="1" applyFill="1" applyBorder="1" applyAlignment="1" applyProtection="1">
      <alignment horizontal="left" vertical="center" wrapText="1"/>
    </xf>
    <xf numFmtId="1" fontId="39" fillId="13" borderId="19" xfId="0" applyNumberFormat="1" applyFont="1" applyFill="1" applyBorder="1" applyAlignment="1">
      <alignment horizontal="center" vertical="center" wrapText="1"/>
    </xf>
    <xf numFmtId="1" fontId="39" fillId="13" borderId="20" xfId="0" applyNumberFormat="1" applyFont="1" applyFill="1" applyBorder="1" applyAlignment="1">
      <alignment horizontal="center" vertical="center" wrapText="1"/>
    </xf>
    <xf numFmtId="1" fontId="39" fillId="13" borderId="21" xfId="0" applyNumberFormat="1" applyFont="1" applyFill="1" applyBorder="1" applyAlignment="1">
      <alignment horizontal="center" vertical="center" wrapText="1"/>
    </xf>
    <xf numFmtId="0" fontId="55" fillId="12" borderId="19" xfId="0" applyFont="1" applyFill="1" applyBorder="1" applyAlignment="1" applyProtection="1">
      <alignment horizontal="center" vertical="center" wrapText="1"/>
    </xf>
    <xf numFmtId="0" fontId="55" fillId="12" borderId="20" xfId="0" applyFont="1" applyFill="1" applyBorder="1" applyAlignment="1" applyProtection="1">
      <alignment horizontal="center" vertical="center" wrapText="1"/>
    </xf>
    <xf numFmtId="0" fontId="55" fillId="12" borderId="21" xfId="0" applyFont="1" applyFill="1" applyBorder="1" applyAlignment="1" applyProtection="1">
      <alignment horizontal="center" vertical="center" wrapText="1"/>
    </xf>
    <xf numFmtId="0" fontId="47" fillId="9" borderId="27" xfId="0" applyFont="1" applyFill="1" applyBorder="1" applyAlignment="1" applyProtection="1">
      <alignment horizontal="left" vertical="center" wrapText="1"/>
    </xf>
    <xf numFmtId="0" fontId="47" fillId="9" borderId="28" xfId="0" applyFont="1" applyFill="1" applyBorder="1" applyAlignment="1" applyProtection="1">
      <alignment horizontal="left" vertical="center" wrapText="1"/>
    </xf>
    <xf numFmtId="167" fontId="47" fillId="9" borderId="29" xfId="13" applyNumberFormat="1" applyFont="1" applyFill="1" applyBorder="1" applyAlignment="1" applyProtection="1">
      <alignment horizontal="left" vertical="center" wrapText="1"/>
    </xf>
    <xf numFmtId="3" fontId="46" fillId="9" borderId="0" xfId="0" applyNumberFormat="1" applyFont="1" applyFill="1" applyBorder="1" applyAlignment="1" applyProtection="1">
      <alignment horizontal="center" vertical="center" wrapText="1"/>
    </xf>
    <xf numFmtId="167" fontId="46" fillId="9" borderId="30" xfId="13" applyNumberFormat="1" applyFont="1" applyFill="1" applyBorder="1" applyAlignment="1" applyProtection="1">
      <alignment horizontal="center" vertical="center" wrapText="1"/>
    </xf>
    <xf numFmtId="167" fontId="46" fillId="9" borderId="31" xfId="13" applyNumberFormat="1" applyFont="1" applyFill="1" applyBorder="1" applyAlignment="1" applyProtection="1">
      <alignment horizontal="center" vertical="center" wrapText="1"/>
    </xf>
    <xf numFmtId="0" fontId="49" fillId="12" borderId="31" xfId="0" applyFont="1" applyFill="1" applyBorder="1" applyAlignment="1" applyProtection="1">
      <alignment vertical="center" wrapText="1"/>
    </xf>
    <xf numFmtId="0" fontId="41" fillId="12" borderId="31" xfId="0" applyFont="1" applyFill="1" applyBorder="1" applyAlignment="1" applyProtection="1">
      <alignment vertical="center" wrapText="1"/>
    </xf>
    <xf numFmtId="0" fontId="49" fillId="12" borderId="32" xfId="0" applyFont="1" applyFill="1" applyBorder="1" applyAlignment="1" applyProtection="1">
      <alignment horizontal="center" vertical="center" wrapText="1"/>
    </xf>
    <xf numFmtId="0" fontId="49" fillId="12" borderId="33" xfId="0" applyFont="1" applyFill="1" applyBorder="1" applyAlignment="1" applyProtection="1">
      <alignment horizontal="center" vertical="center" wrapText="1"/>
    </xf>
    <xf numFmtId="0" fontId="49" fillId="12" borderId="34" xfId="0" applyFont="1" applyFill="1" applyBorder="1" applyAlignment="1" applyProtection="1">
      <alignment horizontal="center" vertical="center" wrapText="1"/>
    </xf>
    <xf numFmtId="1" fontId="54" fillId="9" borderId="35" xfId="0" applyNumberFormat="1" applyFont="1" applyFill="1" applyBorder="1" applyAlignment="1">
      <alignment wrapText="1"/>
    </xf>
    <xf numFmtId="167" fontId="47" fillId="9" borderId="16" xfId="13" applyNumberFormat="1" applyFont="1" applyFill="1" applyBorder="1" applyAlignment="1" applyProtection="1">
      <alignment horizontal="left" vertical="center" wrapText="1"/>
    </xf>
    <xf numFmtId="166" fontId="87" fillId="12" borderId="0" xfId="13" applyFill="1" applyBorder="1" applyAlignment="1" applyProtection="1">
      <alignment vertical="center" wrapText="1"/>
    </xf>
    <xf numFmtId="167" fontId="47" fillId="9" borderId="37" xfId="13" applyNumberFormat="1" applyFont="1" applyFill="1" applyBorder="1" applyAlignment="1" applyProtection="1">
      <alignment horizontal="left" vertical="center" wrapText="1"/>
    </xf>
    <xf numFmtId="0" fontId="41" fillId="9" borderId="13" xfId="0" applyFont="1" applyFill="1" applyBorder="1" applyAlignment="1" applyProtection="1">
      <alignment vertical="center" wrapText="1"/>
    </xf>
    <xf numFmtId="168" fontId="87" fillId="12" borderId="0" xfId="13" applyNumberFormat="1" applyFill="1" applyBorder="1" applyAlignment="1" applyProtection="1">
      <alignment horizontal="center" vertical="center" wrapText="1"/>
    </xf>
    <xf numFmtId="0" fontId="41" fillId="12" borderId="36" xfId="0" applyFont="1" applyFill="1" applyBorder="1" applyAlignment="1" applyProtection="1">
      <alignment vertical="center" wrapText="1"/>
    </xf>
    <xf numFmtId="3" fontId="47" fillId="9" borderId="38" xfId="0" applyNumberFormat="1" applyFont="1" applyFill="1" applyBorder="1" applyAlignment="1" applyProtection="1">
      <alignment vertical="center" wrapText="1"/>
    </xf>
    <xf numFmtId="169" fontId="38" fillId="13" borderId="19" xfId="13" applyNumberFormat="1" applyFont="1" applyFill="1" applyBorder="1" applyAlignment="1" applyProtection="1">
      <alignment horizontal="center" vertical="center" wrapText="1"/>
    </xf>
    <xf numFmtId="169" fontId="38" fillId="13" borderId="20" xfId="13" applyNumberFormat="1" applyFont="1" applyFill="1" applyBorder="1" applyAlignment="1" applyProtection="1">
      <alignment horizontal="center" vertical="center" wrapText="1"/>
    </xf>
    <xf numFmtId="169" fontId="38" fillId="13" borderId="21" xfId="13" applyNumberFormat="1" applyFont="1" applyFill="1" applyBorder="1" applyAlignment="1" applyProtection="1">
      <alignment horizontal="center" vertical="center" wrapText="1"/>
    </xf>
    <xf numFmtId="1" fontId="42" fillId="9" borderId="14" xfId="0" applyNumberFormat="1" applyFont="1" applyFill="1" applyBorder="1" applyAlignment="1">
      <alignment wrapText="1"/>
    </xf>
    <xf numFmtId="165" fontId="87" fillId="12" borderId="0" xfId="13" applyNumberFormat="1" applyFill="1" applyBorder="1" applyAlignment="1" applyProtection="1">
      <alignment horizontal="center" vertical="center" wrapText="1"/>
    </xf>
    <xf numFmtId="167" fontId="47" fillId="9" borderId="39" xfId="13" applyNumberFormat="1" applyFont="1" applyFill="1" applyBorder="1" applyAlignment="1" applyProtection="1">
      <alignment horizontal="left" vertical="center" wrapText="1"/>
    </xf>
    <xf numFmtId="0" fontId="46" fillId="9" borderId="0" xfId="0" applyFont="1" applyFill="1" applyBorder="1" applyAlignment="1" applyProtection="1">
      <alignment horizontal="center" vertical="center" wrapText="1"/>
    </xf>
    <xf numFmtId="0" fontId="39" fillId="0" borderId="30" xfId="0" applyFont="1" applyBorder="1" applyAlignment="1">
      <alignment wrapText="1"/>
    </xf>
    <xf numFmtId="0" fontId="39" fillId="0" borderId="31" xfId="0" applyFont="1" applyBorder="1" applyAlignment="1">
      <alignment wrapText="1"/>
    </xf>
    <xf numFmtId="0" fontId="49" fillId="14" borderId="40" xfId="0" applyFont="1" applyFill="1" applyBorder="1" applyAlignment="1" applyProtection="1">
      <alignment horizontal="right" vertical="center" wrapText="1"/>
    </xf>
    <xf numFmtId="167" fontId="47" fillId="9" borderId="41" xfId="13" applyNumberFormat="1" applyFont="1" applyFill="1" applyBorder="1" applyAlignment="1" applyProtection="1">
      <alignment horizontal="left" vertical="center" wrapText="1"/>
    </xf>
    <xf numFmtId="0" fontId="55" fillId="12" borderId="32" xfId="0" applyFont="1" applyFill="1" applyBorder="1" applyAlignment="1" applyProtection="1">
      <alignment horizontal="center" vertical="center" wrapText="1"/>
    </xf>
    <xf numFmtId="0" fontId="55" fillId="12" borderId="33" xfId="0" applyFont="1" applyFill="1" applyBorder="1" applyAlignment="1" applyProtection="1">
      <alignment horizontal="center" vertical="center" wrapText="1"/>
    </xf>
    <xf numFmtId="0" fontId="55" fillId="12" borderId="34" xfId="0" applyFont="1" applyFill="1" applyBorder="1" applyAlignment="1" applyProtection="1">
      <alignment horizontal="center" vertical="center" wrapText="1"/>
    </xf>
    <xf numFmtId="1" fontId="42" fillId="9" borderId="35" xfId="0" applyNumberFormat="1" applyFont="1" applyFill="1" applyBorder="1" applyAlignment="1">
      <alignment wrapText="1"/>
    </xf>
    <xf numFmtId="167" fontId="46" fillId="9" borderId="13" xfId="13" applyNumberFormat="1" applyFont="1" applyFill="1" applyBorder="1" applyAlignment="1" applyProtection="1">
      <alignment horizontal="center" vertical="center" wrapText="1"/>
    </xf>
    <xf numFmtId="167" fontId="46" fillId="9" borderId="0" xfId="13" applyNumberFormat="1" applyFont="1" applyFill="1" applyBorder="1" applyAlignment="1" applyProtection="1">
      <alignment horizontal="center" vertical="center" wrapText="1"/>
    </xf>
    <xf numFmtId="167" fontId="47" fillId="9" borderId="38" xfId="13" applyNumberFormat="1" applyFont="1" applyFill="1" applyBorder="1" applyAlignment="1" applyProtection="1">
      <alignment vertical="center" wrapText="1"/>
    </xf>
    <xf numFmtId="167" fontId="47" fillId="9" borderId="42" xfId="13" applyNumberFormat="1" applyFont="1" applyFill="1" applyBorder="1" applyAlignment="1" applyProtection="1">
      <alignment vertical="center" wrapText="1"/>
    </xf>
    <xf numFmtId="0" fontId="49" fillId="12" borderId="36" xfId="0" applyFont="1" applyFill="1" applyBorder="1" applyAlignment="1" applyProtection="1">
      <alignment horizontal="right" vertical="center" wrapText="1"/>
    </xf>
    <xf numFmtId="3" fontId="47" fillId="9" borderId="43" xfId="0" applyNumberFormat="1" applyFont="1" applyFill="1" applyBorder="1" applyAlignment="1" applyProtection="1">
      <alignment vertical="center" wrapText="1"/>
    </xf>
    <xf numFmtId="164" fontId="47" fillId="9" borderId="44" xfId="16" applyFont="1" applyFill="1" applyBorder="1" applyAlignment="1" applyProtection="1">
      <alignment vertical="center" wrapText="1"/>
    </xf>
    <xf numFmtId="3" fontId="47" fillId="9" borderId="45" xfId="0" applyNumberFormat="1" applyFont="1" applyFill="1" applyBorder="1" applyAlignment="1" applyProtection="1">
      <alignment vertical="center" wrapText="1"/>
    </xf>
    <xf numFmtId="164" fontId="47" fillId="9" borderId="46" xfId="16" applyFont="1" applyFill="1" applyBorder="1" applyAlignment="1" applyProtection="1">
      <alignment vertical="center" wrapText="1"/>
    </xf>
    <xf numFmtId="3" fontId="47" fillId="9" borderId="47" xfId="0" applyNumberFormat="1" applyFont="1" applyFill="1" applyBorder="1" applyAlignment="1" applyProtection="1">
      <alignment vertical="center" wrapText="1"/>
    </xf>
    <xf numFmtId="164" fontId="47" fillId="9" borderId="48" xfId="16" applyFont="1" applyFill="1" applyBorder="1" applyAlignment="1" applyProtection="1">
      <alignment vertical="center" wrapText="1"/>
    </xf>
    <xf numFmtId="167" fontId="47" fillId="9" borderId="49" xfId="13" applyNumberFormat="1" applyFont="1" applyFill="1" applyBorder="1" applyAlignment="1" applyProtection="1">
      <alignment vertical="center" wrapText="1"/>
    </xf>
    <xf numFmtId="164" fontId="47" fillId="9" borderId="41" xfId="16" applyFont="1" applyFill="1" applyBorder="1" applyAlignment="1" applyProtection="1">
      <alignment horizontal="right" vertical="center" wrapText="1"/>
    </xf>
    <xf numFmtId="3" fontId="47" fillId="9" borderId="50" xfId="0" applyNumberFormat="1" applyFont="1" applyFill="1" applyBorder="1" applyAlignment="1" applyProtection="1">
      <alignment vertical="center" wrapText="1"/>
    </xf>
    <xf numFmtId="3" fontId="56" fillId="9" borderId="0" xfId="0" applyNumberFormat="1" applyFont="1" applyFill="1" applyBorder="1" applyAlignment="1" applyProtection="1">
      <alignment horizontal="left" vertical="center" wrapText="1"/>
    </xf>
    <xf numFmtId="3" fontId="47" fillId="9" borderId="22" xfId="0" applyNumberFormat="1" applyFont="1" applyFill="1" applyBorder="1" applyAlignment="1" applyProtection="1">
      <alignment vertical="center" wrapText="1"/>
    </xf>
    <xf numFmtId="3" fontId="47" fillId="9" borderId="24" xfId="0" applyNumberFormat="1" applyFont="1" applyFill="1" applyBorder="1" applyAlignment="1" applyProtection="1">
      <alignment vertical="center" wrapText="1"/>
    </xf>
    <xf numFmtId="164" fontId="47" fillId="9" borderId="51" xfId="16" applyFont="1" applyFill="1" applyBorder="1" applyAlignment="1" applyProtection="1">
      <alignment vertical="center" wrapText="1"/>
    </xf>
    <xf numFmtId="3" fontId="47" fillId="9" borderId="25" xfId="0" applyNumberFormat="1" applyFont="1" applyFill="1" applyBorder="1" applyAlignment="1" applyProtection="1">
      <alignment vertical="center" wrapText="1"/>
    </xf>
    <xf numFmtId="3" fontId="47" fillId="9" borderId="26" xfId="0" applyNumberFormat="1" applyFont="1" applyFill="1" applyBorder="1" applyAlignment="1" applyProtection="1">
      <alignment vertical="center" wrapText="1"/>
    </xf>
    <xf numFmtId="164" fontId="47" fillId="9" borderId="38" xfId="16" applyFont="1" applyFill="1" applyBorder="1" applyAlignment="1" applyProtection="1">
      <alignment vertical="center" wrapText="1"/>
    </xf>
    <xf numFmtId="0" fontId="49" fillId="9" borderId="0" xfId="0" applyFont="1" applyFill="1" applyBorder="1" applyAlignment="1" applyProtection="1">
      <alignment vertical="center" wrapText="1"/>
    </xf>
    <xf numFmtId="0" fontId="49" fillId="9" borderId="30" xfId="0" applyFont="1" applyFill="1" applyBorder="1" applyAlignment="1" applyProtection="1">
      <alignment vertical="center" wrapText="1"/>
    </xf>
    <xf numFmtId="0" fontId="49" fillId="9" borderId="31" xfId="0" applyFont="1" applyFill="1" applyBorder="1" applyAlignment="1" applyProtection="1">
      <alignment vertical="center" wrapText="1"/>
    </xf>
    <xf numFmtId="3" fontId="47" fillId="9" borderId="27" xfId="0" applyNumberFormat="1" applyFont="1" applyFill="1" applyBorder="1" applyAlignment="1" applyProtection="1">
      <alignment vertical="center" wrapText="1"/>
    </xf>
    <xf numFmtId="3" fontId="47" fillId="9" borderId="29" xfId="0" applyNumberFormat="1" applyFont="1" applyFill="1" applyBorder="1" applyAlignment="1" applyProtection="1">
      <alignment vertical="center" wrapText="1"/>
    </xf>
    <xf numFmtId="164" fontId="47" fillId="9" borderId="50" xfId="16" applyFont="1" applyFill="1" applyBorder="1" applyAlignment="1" applyProtection="1">
      <alignment vertical="center" wrapText="1"/>
    </xf>
    <xf numFmtId="0" fontId="57" fillId="9" borderId="0" xfId="0" applyFont="1" applyFill="1" applyAlignment="1">
      <alignment wrapText="1"/>
    </xf>
    <xf numFmtId="0" fontId="49" fillId="9" borderId="13" xfId="0" applyFont="1" applyFill="1" applyBorder="1" applyAlignment="1" applyProtection="1">
      <alignment vertical="center" wrapText="1"/>
    </xf>
    <xf numFmtId="1" fontId="39" fillId="13" borderId="32" xfId="0" applyNumberFormat="1" applyFont="1" applyFill="1" applyBorder="1" applyAlignment="1">
      <alignment horizontal="center" vertical="center" wrapText="1"/>
    </xf>
    <xf numFmtId="1" fontId="39" fillId="13" borderId="33" xfId="0" applyNumberFormat="1" applyFont="1" applyFill="1" applyBorder="1" applyAlignment="1">
      <alignment horizontal="center" vertical="center" wrapText="1"/>
    </xf>
    <xf numFmtId="1" fontId="39" fillId="13" borderId="34" xfId="0" applyNumberFormat="1" applyFont="1" applyFill="1" applyBorder="1" applyAlignment="1">
      <alignment horizontal="center" vertical="center" wrapText="1"/>
    </xf>
    <xf numFmtId="0" fontId="57" fillId="9" borderId="0" xfId="0" applyFont="1" applyFill="1" applyBorder="1" applyAlignment="1">
      <alignment horizontal="center" wrapText="1"/>
    </xf>
    <xf numFmtId="0" fontId="49" fillId="12" borderId="0" xfId="0" applyFont="1" applyFill="1" applyBorder="1" applyAlignment="1" applyProtection="1">
      <alignment horizontal="left" vertical="center" wrapText="1"/>
    </xf>
    <xf numFmtId="0" fontId="50" fillId="12" borderId="0" xfId="0" applyFont="1" applyFill="1" applyBorder="1" applyAlignment="1" applyProtection="1">
      <alignment horizontal="left" vertical="center" wrapText="1"/>
    </xf>
    <xf numFmtId="0" fontId="49" fillId="12" borderId="0" xfId="0" applyFont="1" applyFill="1" applyBorder="1" applyAlignment="1" applyProtection="1">
      <alignment horizontal="right" vertical="center" wrapText="1"/>
    </xf>
    <xf numFmtId="1" fontId="49" fillId="12" borderId="0" xfId="0" applyNumberFormat="1" applyFont="1" applyFill="1" applyBorder="1" applyAlignment="1" applyProtection="1">
      <alignment horizontal="right" vertical="center" wrapText="1"/>
    </xf>
    <xf numFmtId="1" fontId="39" fillId="9" borderId="0" xfId="0" applyNumberFormat="1" applyFont="1" applyFill="1" applyBorder="1" applyAlignment="1">
      <alignment horizontal="center" vertical="center" wrapText="1"/>
    </xf>
    <xf numFmtId="1" fontId="42" fillId="9" borderId="14" xfId="0" applyNumberFormat="1" applyFont="1" applyFill="1" applyBorder="1" applyAlignment="1">
      <alignment horizontal="center" vertical="center" wrapText="1"/>
    </xf>
    <xf numFmtId="0" fontId="50" fillId="12" borderId="0" xfId="0" applyFont="1" applyFill="1" applyBorder="1" applyAlignment="1" applyProtection="1">
      <alignment vertical="center" wrapText="1"/>
    </xf>
    <xf numFmtId="0" fontId="39" fillId="9" borderId="31" xfId="0" applyFont="1" applyFill="1" applyBorder="1" applyAlignment="1">
      <alignment wrapText="1"/>
    </xf>
    <xf numFmtId="1" fontId="42" fillId="9" borderId="31" xfId="0" applyNumberFormat="1" applyFont="1" applyFill="1" applyBorder="1" applyAlignment="1">
      <alignment horizontal="center" vertical="center" wrapText="1"/>
    </xf>
    <xf numFmtId="1" fontId="42" fillId="9" borderId="35" xfId="0" applyNumberFormat="1" applyFont="1" applyFill="1" applyBorder="1" applyAlignment="1">
      <alignment horizontal="center" vertical="center" wrapText="1"/>
    </xf>
    <xf numFmtId="0" fontId="39" fillId="0" borderId="0" xfId="0" applyFont="1" applyFill="1" applyBorder="1" applyAlignment="1">
      <alignment wrapText="1"/>
    </xf>
    <xf numFmtId="170" fontId="49" fillId="12" borderId="0" xfId="0" applyNumberFormat="1" applyFont="1" applyFill="1" applyBorder="1" applyAlignment="1" applyProtection="1">
      <alignment horizontal="left" vertical="center" wrapText="1"/>
    </xf>
    <xf numFmtId="165" fontId="39" fillId="9" borderId="0" xfId="0" applyNumberFormat="1" applyFont="1" applyFill="1" applyBorder="1" applyAlignment="1">
      <alignment horizontal="center" vertical="center" wrapText="1"/>
    </xf>
    <xf numFmtId="0" fontId="39" fillId="9" borderId="0" xfId="0" applyFont="1" applyFill="1" applyAlignment="1">
      <alignment horizontal="left" wrapText="1"/>
    </xf>
    <xf numFmtId="0" fontId="12" fillId="0" borderId="0" xfId="0" applyFont="1" applyFill="1" applyBorder="1" applyAlignment="1" applyProtection="1">
      <alignment vertical="center"/>
    </xf>
    <xf numFmtId="0" fontId="60" fillId="9" borderId="0" xfId="0" applyFont="1" applyFill="1" applyBorder="1" applyAlignment="1">
      <alignment horizontal="left" vertical="center"/>
    </xf>
    <xf numFmtId="0" fontId="12" fillId="9" borderId="0" xfId="0" applyFont="1" applyFill="1" applyBorder="1" applyAlignment="1" applyProtection="1">
      <alignment horizontal="left" vertical="center"/>
    </xf>
    <xf numFmtId="0" fontId="12" fillId="9" borderId="0" xfId="0" applyFont="1" applyFill="1" applyBorder="1" applyAlignment="1" applyProtection="1">
      <alignment horizontal="left" vertical="center" indent="2"/>
    </xf>
    <xf numFmtId="0" fontId="23" fillId="9" borderId="0" xfId="0" applyFont="1" applyFill="1" applyAlignment="1" applyProtection="1">
      <alignment horizontal="left" indent="2"/>
    </xf>
    <xf numFmtId="1" fontId="24" fillId="9" borderId="8" xfId="0" applyNumberFormat="1" applyFont="1" applyFill="1" applyBorder="1" applyAlignment="1" applyProtection="1">
      <alignment vertical="center"/>
    </xf>
    <xf numFmtId="164" fontId="12" fillId="9" borderId="0" xfId="0" applyNumberFormat="1" applyFont="1" applyFill="1" applyAlignment="1" applyProtection="1">
      <alignment horizontal="left" vertical="center"/>
    </xf>
    <xf numFmtId="0" fontId="63" fillId="11" borderId="52" xfId="0" applyFont="1" applyFill="1" applyBorder="1" applyAlignment="1" applyProtection="1">
      <alignment horizontal="right" vertical="center" wrapText="1" indent="1"/>
    </xf>
    <xf numFmtId="1" fontId="65" fillId="12" borderId="53" xfId="0" applyNumberFormat="1" applyFont="1" applyFill="1" applyBorder="1" applyAlignment="1" applyProtection="1">
      <alignment horizontal="right" vertical="center"/>
    </xf>
    <xf numFmtId="0" fontId="65" fillId="12" borderId="8" xfId="0" applyFont="1" applyFill="1" applyBorder="1" applyAlignment="1" applyProtection="1">
      <alignment horizontal="center" vertical="center"/>
    </xf>
    <xf numFmtId="1" fontId="65" fillId="12" borderId="8" xfId="0" applyNumberFormat="1" applyFont="1" applyFill="1" applyBorder="1" applyAlignment="1" applyProtection="1">
      <alignment horizontal="left" vertical="center"/>
    </xf>
    <xf numFmtId="164" fontId="60" fillId="12" borderId="54" xfId="0" applyNumberFormat="1" applyFont="1" applyFill="1" applyBorder="1" applyAlignment="1" applyProtection="1">
      <alignment horizontal="center"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Fill="1" applyAlignment="1">
      <alignment vertical="center"/>
    </xf>
    <xf numFmtId="0" fontId="0" fillId="9" borderId="0" xfId="0" applyFill="1" applyAlignment="1">
      <alignment vertical="center"/>
    </xf>
    <xf numFmtId="0" fontId="0" fillId="9" borderId="0" xfId="0" applyFill="1" applyAlignment="1">
      <alignment horizontal="center" vertical="center"/>
    </xf>
    <xf numFmtId="0" fontId="0" fillId="9" borderId="0" xfId="0" applyFill="1" applyAlignment="1">
      <alignment horizontal="left" vertical="center"/>
    </xf>
    <xf numFmtId="164" fontId="0" fillId="9" borderId="0" xfId="0" applyNumberFormat="1" applyFill="1" applyAlignment="1">
      <alignment horizontal="center" vertical="center"/>
    </xf>
    <xf numFmtId="0" fontId="66" fillId="9" borderId="0" xfId="0" applyFont="1" applyFill="1" applyAlignment="1">
      <alignment horizontal="left" vertical="center"/>
    </xf>
    <xf numFmtId="1" fontId="66" fillId="9" borderId="0" xfId="0" applyNumberFormat="1" applyFont="1" applyFill="1" applyBorder="1" applyAlignment="1">
      <alignment horizontal="center" vertical="center"/>
    </xf>
    <xf numFmtId="0" fontId="67" fillId="9" borderId="0" xfId="0" applyFont="1" applyFill="1" applyAlignment="1">
      <alignment vertical="center"/>
    </xf>
    <xf numFmtId="0" fontId="0" fillId="9" borderId="0" xfId="0" applyFont="1" applyFill="1" applyAlignment="1">
      <alignment vertical="center"/>
    </xf>
    <xf numFmtId="0" fontId="0" fillId="9" borderId="0" xfId="0" applyFont="1" applyFill="1" applyAlignment="1">
      <alignment horizontal="center" vertical="center"/>
    </xf>
    <xf numFmtId="0" fontId="0" fillId="9" borderId="0" xfId="0" applyFont="1" applyFill="1" applyAlignment="1">
      <alignment horizontal="left" vertical="center"/>
    </xf>
    <xf numFmtId="1" fontId="16" fillId="9" borderId="55" xfId="0" applyNumberFormat="1" applyFont="1" applyFill="1" applyBorder="1" applyAlignment="1">
      <alignment horizontal="left" vertical="center" indent="1"/>
    </xf>
    <xf numFmtId="1" fontId="16" fillId="9" borderId="56" xfId="0" applyNumberFormat="1" applyFont="1" applyFill="1" applyBorder="1" applyAlignment="1">
      <alignment horizontal="right" vertical="center"/>
    </xf>
    <xf numFmtId="0" fontId="16" fillId="9" borderId="56" xfId="0" applyFont="1" applyFill="1" applyBorder="1" applyAlignment="1">
      <alignment horizontal="center" vertical="center"/>
    </xf>
    <xf numFmtId="1" fontId="16" fillId="9" borderId="56" xfId="0" applyNumberFormat="1" applyFont="1" applyFill="1" applyBorder="1" applyAlignment="1">
      <alignment horizontal="left" vertical="center"/>
    </xf>
    <xf numFmtId="164" fontId="14" fillId="9" borderId="57" xfId="0" applyNumberFormat="1" applyFont="1" applyFill="1" applyBorder="1" applyAlignment="1">
      <alignment horizontal="right" vertical="center" indent="1"/>
    </xf>
    <xf numFmtId="1" fontId="22" fillId="12" borderId="55" xfId="0" applyNumberFormat="1" applyFont="1" applyFill="1" applyBorder="1" applyAlignment="1">
      <alignment horizontal="left" vertical="center" indent="1"/>
    </xf>
    <xf numFmtId="1" fontId="22" fillId="12" borderId="56" xfId="0" applyNumberFormat="1" applyFont="1" applyFill="1" applyBorder="1" applyAlignment="1">
      <alignment horizontal="right" vertical="center"/>
    </xf>
    <xf numFmtId="0" fontId="22" fillId="12" borderId="56" xfId="0" applyFont="1" applyFill="1" applyBorder="1" applyAlignment="1">
      <alignment horizontal="center" vertical="center"/>
    </xf>
    <xf numFmtId="1" fontId="22" fillId="12" borderId="56" xfId="0" applyNumberFormat="1" applyFont="1" applyFill="1" applyBorder="1" applyAlignment="1">
      <alignment horizontal="left" vertical="center"/>
    </xf>
    <xf numFmtId="164" fontId="22" fillId="12" borderId="57" xfId="0" applyNumberFormat="1" applyFont="1" applyFill="1" applyBorder="1" applyAlignment="1">
      <alignment horizontal="right" vertical="center" indent="1"/>
    </xf>
    <xf numFmtId="0" fontId="16" fillId="12" borderId="56" xfId="0" applyFont="1" applyFill="1" applyBorder="1" applyAlignment="1">
      <alignment horizontal="center" vertical="center"/>
    </xf>
    <xf numFmtId="0" fontId="68" fillId="9" borderId="0" xfId="0" applyFont="1" applyFill="1" applyBorder="1" applyAlignment="1">
      <alignment vertical="center"/>
    </xf>
    <xf numFmtId="0" fontId="69" fillId="9" borderId="0" xfId="0" applyFont="1" applyFill="1" applyBorder="1" applyAlignment="1">
      <alignment vertical="center"/>
    </xf>
    <xf numFmtId="0" fontId="14" fillId="9" borderId="0" xfId="0" applyFont="1" applyFill="1" applyAlignment="1">
      <alignment horizontal="left" vertical="center"/>
    </xf>
    <xf numFmtId="0" fontId="60" fillId="9" borderId="0" xfId="0" applyFont="1" applyFill="1" applyAlignment="1">
      <alignment horizontal="left" vertical="center"/>
    </xf>
    <xf numFmtId="0" fontId="13" fillId="9" borderId="0" xfId="0" applyFont="1" applyFill="1" applyAlignment="1">
      <alignment horizontal="left" vertical="center"/>
    </xf>
    <xf numFmtId="0" fontId="68" fillId="9" borderId="58" xfId="0" applyFont="1" applyFill="1" applyBorder="1" applyAlignment="1">
      <alignment horizontal="left" vertical="center"/>
    </xf>
    <xf numFmtId="0" fontId="27" fillId="9" borderId="58" xfId="0" applyFont="1" applyFill="1" applyBorder="1" applyAlignment="1">
      <alignment vertical="center" wrapText="1"/>
    </xf>
    <xf numFmtId="0" fontId="68" fillId="9" borderId="0" xfId="0" applyFont="1" applyFill="1" applyBorder="1" applyAlignment="1">
      <alignment horizontal="left" vertical="center"/>
    </xf>
    <xf numFmtId="0" fontId="27" fillId="9" borderId="0" xfId="0" applyFont="1" applyFill="1" applyBorder="1" applyAlignment="1">
      <alignment vertical="center" wrapText="1"/>
    </xf>
    <xf numFmtId="0" fontId="68" fillId="9" borderId="59" xfId="0" applyFont="1" applyFill="1" applyBorder="1" applyAlignment="1">
      <alignment horizontal="right" vertical="center"/>
    </xf>
    <xf numFmtId="0" fontId="68" fillId="9" borderId="60" xfId="0" applyFont="1" applyFill="1" applyBorder="1" applyAlignment="1">
      <alignment horizontal="right" vertical="center"/>
    </xf>
    <xf numFmtId="0" fontId="68" fillId="9" borderId="60" xfId="0" applyFont="1" applyFill="1" applyBorder="1" applyAlignment="1">
      <alignment horizontal="right" vertical="center" wrapText="1"/>
    </xf>
    <xf numFmtId="0" fontId="68" fillId="9" borderId="61" xfId="0" applyFont="1" applyFill="1" applyBorder="1" applyAlignment="1">
      <alignment horizontal="right" vertical="center" wrapText="1"/>
    </xf>
    <xf numFmtId="0" fontId="27" fillId="0" borderId="0" xfId="0" applyFont="1" applyAlignment="1">
      <alignment vertical="center" wrapText="1"/>
    </xf>
    <xf numFmtId="0" fontId="27" fillId="0" borderId="0" xfId="0" applyFont="1" applyAlignment="1">
      <alignment horizontal="center" vertical="center" wrapText="1"/>
    </xf>
    <xf numFmtId="0" fontId="70" fillId="11" borderId="13" xfId="0" applyFont="1" applyFill="1" applyBorder="1" applyAlignment="1">
      <alignment vertical="center" wrapText="1"/>
    </xf>
    <xf numFmtId="0" fontId="71" fillId="11" borderId="0" xfId="0" applyFont="1" applyFill="1" applyBorder="1" applyAlignment="1">
      <alignment vertical="center" wrapText="1"/>
    </xf>
    <xf numFmtId="0" fontId="70" fillId="11" borderId="30" xfId="0" applyFont="1" applyFill="1" applyBorder="1" applyAlignment="1">
      <alignment vertical="center" wrapText="1"/>
    </xf>
    <xf numFmtId="0" fontId="70" fillId="11" borderId="31" xfId="0" applyFont="1" applyFill="1" applyBorder="1" applyAlignment="1">
      <alignment vertical="center" wrapText="1"/>
    </xf>
    <xf numFmtId="0" fontId="73" fillId="0" borderId="30" xfId="0" applyFont="1" applyBorder="1" applyAlignment="1">
      <alignment horizontal="center" vertical="center" wrapText="1"/>
    </xf>
    <xf numFmtId="0" fontId="74" fillId="0" borderId="35" xfId="0" applyFont="1" applyBorder="1" applyAlignment="1">
      <alignment vertical="center" wrapText="1"/>
    </xf>
    <xf numFmtId="0" fontId="73" fillId="0" borderId="30" xfId="0" applyFont="1" applyBorder="1" applyAlignment="1">
      <alignment vertical="center" wrapText="1"/>
    </xf>
    <xf numFmtId="0" fontId="73" fillId="0" borderId="31" xfId="0" applyFont="1" applyBorder="1" applyAlignment="1">
      <alignment vertical="center" wrapText="1"/>
    </xf>
    <xf numFmtId="3" fontId="73" fillId="12" borderId="30" xfId="0" applyNumberFormat="1" applyFont="1" applyFill="1" applyBorder="1" applyAlignment="1" applyProtection="1">
      <alignment horizontal="center" vertical="center" wrapText="1"/>
    </xf>
    <xf numFmtId="3" fontId="73" fillId="12" borderId="35" xfId="0" applyNumberFormat="1" applyFont="1" applyFill="1" applyBorder="1" applyAlignment="1" applyProtection="1">
      <alignment horizontal="center" vertical="center" wrapText="1"/>
    </xf>
    <xf numFmtId="3" fontId="73" fillId="12" borderId="31" xfId="0" applyNumberFormat="1" applyFont="1" applyFill="1" applyBorder="1" applyAlignment="1" applyProtection="1">
      <alignment horizontal="center" vertical="center" wrapText="1"/>
    </xf>
    <xf numFmtId="0" fontId="27" fillId="0" borderId="62" xfId="0" applyFont="1" applyFill="1" applyBorder="1" applyAlignment="1">
      <alignment vertical="center" wrapText="1"/>
    </xf>
    <xf numFmtId="0" fontId="73" fillId="0" borderId="36" xfId="0" applyFont="1" applyFill="1" applyBorder="1" applyAlignment="1">
      <alignment horizontal="center" vertical="center" wrapText="1"/>
    </xf>
    <xf numFmtId="0" fontId="74" fillId="0" borderId="63" xfId="0" applyFont="1" applyFill="1" applyBorder="1" applyAlignment="1">
      <alignment vertical="center" wrapText="1"/>
    </xf>
    <xf numFmtId="0" fontId="70" fillId="11" borderId="64" xfId="0" applyFont="1" applyFill="1" applyBorder="1" applyAlignment="1">
      <alignment vertical="center" wrapText="1"/>
    </xf>
    <xf numFmtId="0" fontId="70" fillId="11" borderId="65" xfId="0" applyFont="1" applyFill="1" applyBorder="1" applyAlignment="1">
      <alignment vertical="center" wrapText="1"/>
    </xf>
    <xf numFmtId="0" fontId="74" fillId="0" borderId="64" xfId="0" applyFont="1" applyBorder="1" applyAlignment="1">
      <alignment horizontal="center" vertical="center" wrapText="1"/>
    </xf>
    <xf numFmtId="0" fontId="74" fillId="0" borderId="66" xfId="0" applyFont="1" applyBorder="1" applyAlignment="1">
      <alignment vertical="center" wrapText="1"/>
    </xf>
    <xf numFmtId="0" fontId="74" fillId="0" borderId="64" xfId="0" applyFont="1" applyBorder="1" applyAlignment="1">
      <alignment vertical="center" wrapText="1"/>
    </xf>
    <xf numFmtId="0" fontId="74" fillId="0" borderId="65" xfId="0" applyFont="1" applyBorder="1" applyAlignment="1">
      <alignment vertical="center" wrapText="1"/>
    </xf>
    <xf numFmtId="3" fontId="74" fillId="12" borderId="66" xfId="0" applyNumberFormat="1" applyFont="1" applyFill="1" applyBorder="1" applyAlignment="1" applyProtection="1">
      <alignment horizontal="center" vertical="center" wrapText="1"/>
    </xf>
    <xf numFmtId="3" fontId="74" fillId="12" borderId="65" xfId="0" applyNumberFormat="1" applyFont="1" applyFill="1" applyBorder="1" applyAlignment="1" applyProtection="1">
      <alignment horizontal="center" vertical="center" wrapText="1"/>
    </xf>
    <xf numFmtId="3" fontId="73" fillId="12" borderId="66" xfId="0" applyNumberFormat="1" applyFont="1" applyFill="1" applyBorder="1" applyAlignment="1" applyProtection="1">
      <alignment horizontal="center" vertical="center" wrapText="1"/>
    </xf>
    <xf numFmtId="0" fontId="74" fillId="0" borderId="36" xfId="0" applyFont="1" applyFill="1" applyBorder="1" applyAlignment="1">
      <alignment vertical="center" wrapText="1"/>
    </xf>
    <xf numFmtId="0" fontId="70" fillId="11" borderId="67" xfId="0" applyFont="1" applyFill="1" applyBorder="1" applyAlignment="1">
      <alignment vertical="center" wrapText="1"/>
    </xf>
    <xf numFmtId="0" fontId="74" fillId="0" borderId="67" xfId="0" applyFont="1" applyBorder="1" applyAlignment="1">
      <alignment horizontal="center" vertical="center" wrapText="1"/>
    </xf>
    <xf numFmtId="0" fontId="74" fillId="0" borderId="68" xfId="0" applyFont="1" applyBorder="1" applyAlignment="1">
      <alignment vertical="center" wrapText="1"/>
    </xf>
    <xf numFmtId="0" fontId="74" fillId="0" borderId="67" xfId="0" applyFont="1" applyBorder="1" applyAlignment="1">
      <alignment vertical="center" wrapText="1"/>
    </xf>
    <xf numFmtId="0" fontId="74" fillId="0" borderId="69" xfId="0" applyFont="1" applyBorder="1" applyAlignment="1">
      <alignment vertical="center" wrapText="1"/>
    </xf>
    <xf numFmtId="3" fontId="74" fillId="12" borderId="67" xfId="0" applyNumberFormat="1" applyFont="1" applyFill="1" applyBorder="1" applyAlignment="1" applyProtection="1">
      <alignment horizontal="center" vertical="center" wrapText="1"/>
    </xf>
    <xf numFmtId="3" fontId="73" fillId="12" borderId="68" xfId="0" applyNumberFormat="1" applyFont="1" applyFill="1" applyBorder="1" applyAlignment="1" applyProtection="1">
      <alignment horizontal="center" vertical="center" wrapText="1"/>
    </xf>
    <xf numFmtId="3" fontId="74" fillId="12" borderId="69" xfId="0" applyNumberFormat="1" applyFont="1" applyFill="1" applyBorder="1" applyAlignment="1" applyProtection="1">
      <alignment horizontal="center" vertical="center" wrapText="1"/>
    </xf>
    <xf numFmtId="0" fontId="74" fillId="0" borderId="70" xfId="0" applyFont="1" applyBorder="1" applyAlignment="1">
      <alignment vertical="center" wrapText="1"/>
    </xf>
    <xf numFmtId="0" fontId="74" fillId="0" borderId="71" xfId="0" applyFont="1" applyBorder="1" applyAlignment="1">
      <alignment vertical="center" wrapText="1"/>
    </xf>
    <xf numFmtId="0" fontId="74" fillId="0" borderId="72" xfId="0" applyFont="1" applyBorder="1" applyAlignment="1">
      <alignment vertical="center" wrapText="1"/>
    </xf>
    <xf numFmtId="0" fontId="74" fillId="0" borderId="14" xfId="0" applyFont="1" applyBorder="1" applyAlignment="1">
      <alignment vertical="center" wrapText="1"/>
    </xf>
    <xf numFmtId="0" fontId="74" fillId="0" borderId="13" xfId="0" applyFont="1" applyBorder="1" applyAlignment="1">
      <alignment vertical="center" wrapText="1"/>
    </xf>
    <xf numFmtId="0" fontId="74" fillId="0" borderId="0" xfId="0" applyFont="1" applyBorder="1" applyAlignment="1">
      <alignment vertical="center" wrapText="1"/>
    </xf>
    <xf numFmtId="3" fontId="74" fillId="12" borderId="68" xfId="0" applyNumberFormat="1" applyFont="1" applyFill="1" applyBorder="1" applyAlignment="1" applyProtection="1">
      <alignment horizontal="center" vertical="center" wrapText="1"/>
    </xf>
    <xf numFmtId="0" fontId="74" fillId="0" borderId="73" xfId="0" applyFont="1" applyBorder="1" applyAlignment="1">
      <alignment vertical="center" wrapText="1"/>
    </xf>
    <xf numFmtId="0" fontId="74" fillId="0" borderId="74" xfId="0" applyFont="1" applyBorder="1" applyAlignment="1">
      <alignment vertical="center" wrapText="1"/>
    </xf>
    <xf numFmtId="0" fontId="74" fillId="0" borderId="75" xfId="0" applyFont="1" applyBorder="1" applyAlignment="1">
      <alignment vertical="center" wrapText="1"/>
    </xf>
    <xf numFmtId="0" fontId="74" fillId="0" borderId="76" xfId="0" applyFont="1" applyBorder="1" applyAlignment="1">
      <alignment vertical="center" wrapText="1"/>
    </xf>
    <xf numFmtId="0" fontId="27" fillId="0" borderId="77" xfId="0" applyFont="1" applyFill="1" applyBorder="1" applyAlignment="1">
      <alignment vertical="center" wrapText="1"/>
    </xf>
    <xf numFmtId="0" fontId="74" fillId="0" borderId="40" xfId="0" applyFont="1" applyFill="1" applyBorder="1" applyAlignment="1">
      <alignment vertical="center" wrapText="1"/>
    </xf>
    <xf numFmtId="0" fontId="27" fillId="0" borderId="78" xfId="0" applyFont="1" applyFill="1" applyBorder="1" applyAlignment="1">
      <alignment vertical="center" wrapText="1"/>
    </xf>
    <xf numFmtId="0" fontId="70" fillId="11" borderId="79" xfId="0" applyFont="1" applyFill="1" applyBorder="1" applyAlignment="1">
      <alignment vertical="center" wrapText="1"/>
    </xf>
    <xf numFmtId="0" fontId="27" fillId="0" borderId="10" xfId="0" applyFont="1" applyBorder="1" applyAlignment="1">
      <alignment vertical="center" wrapText="1"/>
    </xf>
    <xf numFmtId="0" fontId="27" fillId="0" borderId="11" xfId="0" applyFont="1" applyBorder="1" applyAlignment="1">
      <alignment vertical="center" wrapText="1"/>
    </xf>
    <xf numFmtId="164" fontId="27" fillId="0" borderId="11" xfId="16" applyFont="1" applyFill="1" applyBorder="1" applyAlignment="1" applyProtection="1">
      <alignment horizontal="center" vertical="center" wrapText="1"/>
    </xf>
    <xf numFmtId="0" fontId="27" fillId="0" borderId="11" xfId="0" applyFont="1" applyBorder="1" applyAlignment="1">
      <alignment horizontal="center" vertical="center" wrapText="1"/>
    </xf>
    <xf numFmtId="2" fontId="27" fillId="0" borderId="11" xfId="0" applyNumberFormat="1" applyFont="1" applyBorder="1" applyAlignment="1">
      <alignment vertical="center" wrapText="1"/>
    </xf>
    <xf numFmtId="2" fontId="27" fillId="0" borderId="12" xfId="0" applyNumberFormat="1" applyFont="1" applyBorder="1" applyAlignment="1">
      <alignment vertical="center" wrapText="1"/>
    </xf>
    <xf numFmtId="0" fontId="27" fillId="0" borderId="13" xfId="0" applyFont="1" applyBorder="1" applyAlignment="1">
      <alignment vertical="center" wrapText="1"/>
    </xf>
    <xf numFmtId="0" fontId="27" fillId="0" borderId="0" xfId="0" applyFont="1" applyBorder="1" applyAlignment="1">
      <alignment vertical="center" wrapText="1"/>
    </xf>
    <xf numFmtId="164" fontId="27" fillId="0" borderId="0" xfId="16" applyFont="1" applyFill="1" applyBorder="1" applyAlignment="1" applyProtection="1">
      <alignment horizontal="center" vertical="center" wrapText="1"/>
    </xf>
    <xf numFmtId="2" fontId="27" fillId="0" borderId="0" xfId="0" applyNumberFormat="1" applyFont="1" applyBorder="1" applyAlignment="1">
      <alignment vertical="center" wrapText="1"/>
    </xf>
    <xf numFmtId="2" fontId="27" fillId="0" borderId="14" xfId="0" applyNumberFormat="1" applyFont="1" applyBorder="1" applyAlignment="1">
      <alignment vertical="center" wrapText="1"/>
    </xf>
    <xf numFmtId="164" fontId="27" fillId="0" borderId="0" xfId="0" applyNumberFormat="1" applyFont="1" applyBorder="1" applyAlignment="1">
      <alignment horizontal="center" vertical="center" wrapText="1"/>
    </xf>
    <xf numFmtId="0" fontId="27" fillId="0" borderId="30" xfId="0" applyFont="1" applyBorder="1" applyAlignment="1">
      <alignment vertical="center" wrapText="1"/>
    </xf>
    <xf numFmtId="0" fontId="72" fillId="0" borderId="31" xfId="0" applyFont="1" applyBorder="1" applyAlignment="1">
      <alignment vertical="center" wrapText="1"/>
    </xf>
    <xf numFmtId="0" fontId="27" fillId="0" borderId="31" xfId="0" applyFont="1" applyBorder="1" applyAlignment="1">
      <alignment horizontal="center" vertical="center" wrapText="1"/>
    </xf>
    <xf numFmtId="0" fontId="27" fillId="0" borderId="31" xfId="0" applyFont="1" applyBorder="1" applyAlignment="1">
      <alignment vertical="center" wrapText="1"/>
    </xf>
    <xf numFmtId="0" fontId="27" fillId="0" borderId="35" xfId="0" applyFont="1" applyBorder="1" applyAlignment="1">
      <alignment vertical="center" wrapText="1"/>
    </xf>
    <xf numFmtId="0" fontId="27" fillId="0" borderId="0" xfId="0" applyFont="1"/>
    <xf numFmtId="0" fontId="27" fillId="0" borderId="0" xfId="0" applyFont="1" applyAlignment="1">
      <alignment horizontal="center"/>
    </xf>
    <xf numFmtId="0" fontId="70" fillId="12" borderId="80" xfId="0" applyFont="1" applyFill="1" applyBorder="1" applyAlignment="1" applyProtection="1">
      <alignment horizontal="left" vertical="center" wrapText="1"/>
    </xf>
    <xf numFmtId="0" fontId="70" fillId="12" borderId="80" xfId="0" applyFont="1" applyFill="1" applyBorder="1" applyAlignment="1" applyProtection="1">
      <alignment horizontal="center" vertical="center" wrapText="1"/>
    </xf>
    <xf numFmtId="0" fontId="70" fillId="12" borderId="81" xfId="0" applyFont="1" applyFill="1" applyBorder="1" applyAlignment="1" applyProtection="1">
      <alignment horizontal="center" vertical="center" wrapText="1"/>
    </xf>
    <xf numFmtId="0" fontId="70" fillId="12" borderId="82" xfId="0" applyFont="1" applyFill="1" applyBorder="1" applyAlignment="1" applyProtection="1">
      <alignment horizontal="center" vertical="center" wrapText="1"/>
    </xf>
    <xf numFmtId="0" fontId="70" fillId="12" borderId="83" xfId="0" applyFont="1" applyFill="1" applyBorder="1" applyAlignment="1" applyProtection="1">
      <alignment horizontal="center" vertical="center" wrapText="1"/>
    </xf>
    <xf numFmtId="0" fontId="70" fillId="12" borderId="84" xfId="0" applyFont="1" applyFill="1" applyBorder="1" applyAlignment="1" applyProtection="1">
      <alignment horizontal="center" vertical="center" wrapText="1"/>
    </xf>
    <xf numFmtId="0" fontId="70" fillId="12" borderId="85" xfId="0" applyFont="1" applyFill="1" applyBorder="1" applyAlignment="1" applyProtection="1">
      <alignment horizontal="center" vertical="center" wrapText="1"/>
    </xf>
    <xf numFmtId="3" fontId="72" fillId="12" borderId="86" xfId="0" applyNumberFormat="1" applyFont="1" applyFill="1" applyBorder="1" applyAlignment="1" applyProtection="1">
      <alignment horizontal="center" vertical="center" wrapText="1"/>
    </xf>
    <xf numFmtId="3" fontId="72" fillId="12" borderId="16" xfId="0" applyNumberFormat="1" applyFont="1" applyFill="1" applyBorder="1" applyAlignment="1" applyProtection="1">
      <alignment horizontal="center" vertical="center" wrapText="1"/>
    </xf>
    <xf numFmtId="4" fontId="72" fillId="0" borderId="87" xfId="0" applyNumberFormat="1" applyFont="1" applyFill="1" applyBorder="1" applyAlignment="1" applyProtection="1">
      <alignment horizontal="center" vertical="center" wrapText="1"/>
    </xf>
    <xf numFmtId="3" fontId="72" fillId="0" borderId="80" xfId="0" applyNumberFormat="1" applyFont="1" applyFill="1" applyBorder="1" applyAlignment="1" applyProtection="1">
      <alignment horizontal="center" vertical="center" wrapText="1"/>
    </xf>
    <xf numFmtId="3" fontId="72" fillId="0" borderId="81" xfId="0" applyNumberFormat="1" applyFont="1" applyFill="1" applyBorder="1" applyAlignment="1" applyProtection="1">
      <alignment horizontal="center" vertical="center" wrapText="1"/>
    </xf>
    <xf numFmtId="164" fontId="27" fillId="0" borderId="0" xfId="16" applyFont="1" applyFill="1" applyBorder="1" applyAlignment="1" applyProtection="1"/>
    <xf numFmtId="0" fontId="27" fillId="0" borderId="13" xfId="0" applyFont="1" applyBorder="1"/>
    <xf numFmtId="0" fontId="27" fillId="0" borderId="0" xfId="0" applyFont="1" applyBorder="1"/>
    <xf numFmtId="165" fontId="27" fillId="0" borderId="0" xfId="0" applyNumberFormat="1" applyFont="1" applyBorder="1"/>
    <xf numFmtId="165" fontId="27" fillId="0" borderId="14" xfId="0" applyNumberFormat="1" applyFont="1" applyBorder="1"/>
    <xf numFmtId="0" fontId="70" fillId="12" borderId="81" xfId="0" applyFont="1" applyFill="1" applyBorder="1" applyAlignment="1" applyProtection="1">
      <alignment horizontal="left" vertical="center" wrapText="1"/>
    </xf>
    <xf numFmtId="3" fontId="72" fillId="12" borderId="22" xfId="0" applyNumberFormat="1" applyFont="1" applyFill="1" applyBorder="1" applyAlignment="1" applyProtection="1">
      <alignment horizontal="center" vertical="center" wrapText="1"/>
    </xf>
    <xf numFmtId="3" fontId="72" fillId="12" borderId="51" xfId="0" applyNumberFormat="1" applyFont="1" applyFill="1" applyBorder="1" applyAlignment="1" applyProtection="1">
      <alignment horizontal="center" vertical="center" wrapText="1"/>
    </xf>
    <xf numFmtId="0" fontId="27" fillId="15" borderId="88" xfId="0" applyFont="1" applyFill="1" applyBorder="1"/>
    <xf numFmtId="0" fontId="27" fillId="15" borderId="31" xfId="0" applyFont="1" applyFill="1" applyBorder="1"/>
    <xf numFmtId="0" fontId="70" fillId="0" borderId="0" xfId="0" applyFont="1" applyFill="1" applyBorder="1" applyAlignment="1" applyProtection="1">
      <alignment horizontal="left" vertical="center" wrapText="1"/>
    </xf>
    <xf numFmtId="3" fontId="72" fillId="0" borderId="0" xfId="0" applyNumberFormat="1" applyFont="1" applyFill="1" applyBorder="1" applyAlignment="1" applyProtection="1">
      <alignment horizontal="center" vertical="center" wrapText="1"/>
    </xf>
    <xf numFmtId="4" fontId="72" fillId="0" borderId="0" xfId="0" applyNumberFormat="1" applyFont="1" applyFill="1" applyBorder="1" applyAlignment="1" applyProtection="1">
      <alignment horizontal="center" vertical="center" wrapText="1"/>
    </xf>
    <xf numFmtId="0" fontId="72" fillId="0" borderId="88" xfId="0" applyFont="1" applyFill="1" applyBorder="1"/>
    <xf numFmtId="0" fontId="70" fillId="12" borderId="89" xfId="0" applyFont="1" applyFill="1" applyBorder="1" applyAlignment="1" applyProtection="1">
      <alignment horizontal="left" vertical="center" wrapText="1"/>
    </xf>
    <xf numFmtId="3" fontId="72" fillId="12" borderId="89" xfId="0" applyNumberFormat="1" applyFont="1" applyFill="1" applyBorder="1" applyAlignment="1" applyProtection="1">
      <alignment horizontal="center" vertical="center" wrapText="1"/>
    </xf>
    <xf numFmtId="164" fontId="72" fillId="12" borderId="90" xfId="16" applyFont="1" applyFill="1" applyBorder="1" applyAlignment="1" applyProtection="1">
      <alignment horizontal="center" vertical="center" wrapText="1"/>
    </xf>
    <xf numFmtId="3" fontId="72" fillId="12" borderId="50" xfId="0" applyNumberFormat="1" applyFont="1" applyFill="1" applyBorder="1" applyAlignment="1" applyProtection="1">
      <alignment horizontal="center" vertical="center" wrapText="1"/>
    </xf>
    <xf numFmtId="3" fontId="72" fillId="0" borderId="89" xfId="0" applyNumberFormat="1" applyFont="1" applyFill="1" applyBorder="1" applyAlignment="1" applyProtection="1">
      <alignment horizontal="center" vertical="center" wrapText="1"/>
    </xf>
    <xf numFmtId="164" fontId="27" fillId="0" borderId="0" xfId="0" applyNumberFormat="1" applyFont="1"/>
    <xf numFmtId="0" fontId="70" fillId="12" borderId="0" xfId="0" applyFont="1" applyFill="1" applyBorder="1" applyAlignment="1" applyProtection="1">
      <alignment horizontal="left" vertical="center" wrapText="1"/>
    </xf>
    <xf numFmtId="3" fontId="72" fillId="12" borderId="0" xfId="0" applyNumberFormat="1" applyFont="1" applyFill="1" applyBorder="1" applyAlignment="1" applyProtection="1">
      <alignment horizontal="center" vertical="center" wrapText="1"/>
    </xf>
    <xf numFmtId="164" fontId="72" fillId="12" borderId="0" xfId="16" applyFont="1" applyFill="1" applyBorder="1" applyAlignment="1" applyProtection="1">
      <alignment horizontal="center" vertical="center" wrapText="1"/>
    </xf>
    <xf numFmtId="0" fontId="27" fillId="16" borderId="0" xfId="0" applyFont="1" applyFill="1"/>
    <xf numFmtId="0" fontId="71" fillId="11" borderId="0" xfId="0" applyFont="1" applyFill="1" applyAlignment="1"/>
    <xf numFmtId="0" fontId="70" fillId="11" borderId="0" xfId="0" applyFont="1" applyFill="1"/>
    <xf numFmtId="0" fontId="70" fillId="11" borderId="0" xfId="0" applyFont="1" applyFill="1" applyAlignment="1">
      <alignment horizontal="center"/>
    </xf>
    <xf numFmtId="14" fontId="70" fillId="11" borderId="0" xfId="0" applyNumberFormat="1" applyFont="1" applyFill="1"/>
    <xf numFmtId="0" fontId="70" fillId="11" borderId="0" xfId="12" applyNumberFormat="1" applyFont="1" applyFill="1" applyBorder="1" applyAlignment="1" applyProtection="1"/>
    <xf numFmtId="0" fontId="17" fillId="11" borderId="0" xfId="12" applyNumberFormat="1" applyFill="1" applyBorder="1" applyAlignment="1" applyProtection="1"/>
    <xf numFmtId="0" fontId="77" fillId="0" borderId="0" xfId="0" applyFont="1"/>
    <xf numFmtId="3" fontId="77" fillId="0" borderId="0" xfId="0" applyNumberFormat="1" applyFont="1"/>
    <xf numFmtId="0" fontId="38" fillId="0" borderId="0" xfId="0" applyFont="1"/>
    <xf numFmtId="0" fontId="72" fillId="0" borderId="0" xfId="0" applyFont="1" applyAlignment="1">
      <alignment horizontal="center"/>
    </xf>
    <xf numFmtId="0" fontId="72" fillId="0" borderId="0" xfId="0" applyFont="1"/>
    <xf numFmtId="171" fontId="38" fillId="0" borderId="0" xfId="0" applyNumberFormat="1" applyFont="1"/>
    <xf numFmtId="0" fontId="27" fillId="0" borderId="0" xfId="0" applyFont="1" applyFill="1" applyAlignment="1">
      <alignment horizontal="center"/>
    </xf>
    <xf numFmtId="0" fontId="72" fillId="0" borderId="0" xfId="0" applyFont="1" applyFill="1" applyAlignment="1">
      <alignment horizontal="center"/>
    </xf>
    <xf numFmtId="0" fontId="27" fillId="17" borderId="0" xfId="0" applyFont="1" applyFill="1"/>
    <xf numFmtId="0" fontId="25" fillId="0" borderId="0" xfId="0" applyFont="1" applyBorder="1" applyAlignment="1"/>
    <xf numFmtId="4" fontId="38" fillId="0" borderId="0" xfId="0" applyNumberFormat="1" applyFont="1"/>
    <xf numFmtId="3" fontId="38" fillId="0" borderId="0" xfId="0" applyNumberFormat="1" applyFont="1"/>
    <xf numFmtId="3" fontId="27" fillId="0" borderId="0" xfId="0" applyNumberFormat="1" applyFont="1"/>
    <xf numFmtId="2" fontId="27" fillId="0" borderId="0" xfId="0" applyNumberFormat="1" applyFont="1"/>
    <xf numFmtId="3" fontId="72" fillId="0" borderId="0" xfId="0" applyNumberFormat="1" applyFont="1"/>
    <xf numFmtId="2" fontId="72" fillId="0" borderId="0" xfId="0" applyNumberFormat="1" applyFont="1"/>
    <xf numFmtId="3" fontId="27" fillId="16" borderId="0" xfId="0" applyNumberFormat="1" applyFont="1" applyFill="1"/>
    <xf numFmtId="2" fontId="27" fillId="16" borderId="0" xfId="0" applyNumberFormat="1" applyFont="1" applyFill="1"/>
    <xf numFmtId="0" fontId="0" fillId="9" borderId="0" xfId="0" applyFont="1" applyFill="1" applyAlignment="1" applyProtection="1">
      <alignment vertical="top" wrapText="1"/>
    </xf>
    <xf numFmtId="0" fontId="66" fillId="0" borderId="0" xfId="0" applyFont="1"/>
    <xf numFmtId="3" fontId="47" fillId="9" borderId="27" xfId="0" applyNumberFormat="1" applyFont="1" applyFill="1" applyBorder="1" applyAlignment="1" applyProtection="1">
      <alignment horizontal="left" vertical="center" wrapText="1"/>
    </xf>
    <xf numFmtId="166" fontId="66" fillId="0" borderId="0" xfId="0" applyNumberFormat="1" applyFont="1"/>
    <xf numFmtId="166" fontId="0" fillId="0" borderId="0" xfId="0" applyNumberFormat="1"/>
    <xf numFmtId="0" fontId="0" fillId="0" borderId="0" xfId="0" applyAlignment="1">
      <alignment wrapText="1"/>
    </xf>
    <xf numFmtId="172" fontId="87" fillId="0" borderId="0" xfId="13" applyNumberFormat="1" applyFill="1"/>
    <xf numFmtId="172" fontId="0" fillId="0" borderId="0" xfId="13" applyNumberFormat="1" applyFont="1" applyAlignment="1">
      <alignment wrapText="1"/>
    </xf>
    <xf numFmtId="172" fontId="87" fillId="23" borderId="0" xfId="13" applyNumberFormat="1" applyFill="1"/>
    <xf numFmtId="172" fontId="0" fillId="0" borderId="0" xfId="13" applyNumberFormat="1" applyFont="1"/>
    <xf numFmtId="3" fontId="88" fillId="0" borderId="0" xfId="0" applyNumberFormat="1" applyFont="1"/>
    <xf numFmtId="172" fontId="87" fillId="0" borderId="0" xfId="13" applyNumberFormat="1" applyAlignment="1">
      <alignment vertical="center"/>
    </xf>
    <xf numFmtId="172" fontId="87" fillId="0" borderId="0" xfId="13" applyNumberFormat="1"/>
    <xf numFmtId="166" fontId="87" fillId="0" borderId="0" xfId="13"/>
    <xf numFmtId="0" fontId="89" fillId="0" borderId="0" xfId="17"/>
    <xf numFmtId="0" fontId="17" fillId="9" borderId="3" xfId="12" applyFill="1" applyBorder="1" applyAlignment="1" applyProtection="1">
      <alignment horizontal="left" vertical="center" indent="1"/>
      <protection locked="0"/>
    </xf>
    <xf numFmtId="0" fontId="90" fillId="0" borderId="0" xfId="0" applyFont="1" applyAlignment="1" applyProtection="1">
      <alignment vertical="center"/>
    </xf>
    <xf numFmtId="0" fontId="91" fillId="0" borderId="0" xfId="0" applyFont="1" applyAlignment="1" applyProtection="1">
      <alignment vertical="center"/>
    </xf>
    <xf numFmtId="3" fontId="44" fillId="13" borderId="0" xfId="0" applyNumberFormat="1" applyFont="1" applyFill="1" applyBorder="1" applyAlignment="1" applyProtection="1">
      <alignment horizontal="right" vertical="center" wrapText="1"/>
    </xf>
    <xf numFmtId="0" fontId="41" fillId="12" borderId="17" xfId="0" applyFont="1" applyFill="1" applyBorder="1" applyAlignment="1" applyProtection="1">
      <alignment horizontal="left" vertical="center" wrapText="1"/>
    </xf>
    <xf numFmtId="0" fontId="49" fillId="14" borderId="0" xfId="0" applyFont="1" applyFill="1" applyBorder="1" applyAlignment="1" applyProtection="1">
      <alignment horizontal="right" vertical="center" wrapText="1"/>
    </xf>
    <xf numFmtId="0" fontId="49" fillId="14" borderId="36" xfId="0" applyFont="1" applyFill="1" applyBorder="1" applyAlignment="1" applyProtection="1">
      <alignment horizontal="right" vertical="center" wrapText="1"/>
    </xf>
    <xf numFmtId="0" fontId="49" fillId="12" borderId="0" xfId="0" applyFont="1" applyFill="1" applyBorder="1" applyAlignment="1" applyProtection="1">
      <alignment horizontal="center" vertical="center" wrapText="1"/>
    </xf>
    <xf numFmtId="0" fontId="49" fillId="12" borderId="0" xfId="0" applyFont="1" applyFill="1" applyBorder="1" applyAlignment="1" applyProtection="1">
      <alignment horizontal="center" vertical="center" textRotation="90" wrapText="1"/>
    </xf>
    <xf numFmtId="0" fontId="27" fillId="0" borderId="0" xfId="0" applyFont="1" applyBorder="1" applyAlignment="1">
      <alignment horizontal="center" vertical="center" wrapText="1"/>
    </xf>
    <xf numFmtId="0" fontId="0" fillId="0" borderId="0" xfId="0" applyFont="1" applyAlignment="1" applyProtection="1">
      <alignment wrapText="1"/>
    </xf>
    <xf numFmtId="0" fontId="0" fillId="8" borderId="0" xfId="0" applyFont="1" applyFill="1" applyAlignment="1" applyProtection="1">
      <alignment wrapText="1"/>
    </xf>
    <xf numFmtId="0" fontId="0" fillId="7" borderId="0" xfId="0" applyFont="1" applyFill="1" applyAlignment="1" applyProtection="1">
      <alignment wrapText="1"/>
    </xf>
    <xf numFmtId="0" fontId="0" fillId="0" borderId="91" xfId="0" applyFont="1" applyBorder="1" applyAlignment="1" applyProtection="1">
      <alignment wrapText="1"/>
    </xf>
    <xf numFmtId="0" fontId="78" fillId="0" borderId="0" xfId="0" applyFont="1" applyAlignment="1" applyProtection="1">
      <alignment wrapText="1"/>
    </xf>
    <xf numFmtId="0" fontId="0" fillId="0" borderId="0" xfId="0" applyAlignment="1" applyProtection="1">
      <alignment wrapText="1"/>
    </xf>
    <xf numFmtId="0" fontId="0" fillId="18" borderId="91" xfId="0" applyFont="1" applyFill="1" applyBorder="1" applyAlignment="1" applyProtection="1">
      <alignment wrapText="1"/>
    </xf>
    <xf numFmtId="0" fontId="0" fillId="18" borderId="80" xfId="0" applyFont="1" applyFill="1" applyBorder="1" applyAlignment="1" applyProtection="1">
      <alignment wrapText="1"/>
    </xf>
    <xf numFmtId="0" fontId="0" fillId="10" borderId="91" xfId="0" applyFont="1" applyFill="1" applyBorder="1" applyAlignment="1" applyProtection="1">
      <alignment wrapText="1"/>
    </xf>
    <xf numFmtId="0" fontId="0" fillId="0" borderId="80" xfId="0" applyFont="1" applyBorder="1" applyAlignment="1" applyProtection="1">
      <alignment wrapText="1"/>
    </xf>
    <xf numFmtId="0" fontId="12" fillId="0" borderId="91" xfId="0" applyFont="1" applyBorder="1" applyAlignment="1" applyProtection="1">
      <alignment wrapText="1"/>
    </xf>
    <xf numFmtId="0" fontId="20" fillId="0" borderId="91" xfId="0" applyFont="1" applyBorder="1" applyAlignment="1" applyProtection="1">
      <alignment wrapText="1"/>
    </xf>
    <xf numFmtId="0" fontId="20" fillId="0" borderId="80" xfId="0" applyFont="1" applyBorder="1" applyAlignment="1" applyProtection="1">
      <alignment wrapText="1"/>
    </xf>
    <xf numFmtId="0" fontId="12" fillId="0" borderId="80" xfId="0" applyFont="1" applyBorder="1" applyAlignment="1" applyProtection="1">
      <alignment wrapText="1"/>
    </xf>
    <xf numFmtId="0" fontId="0" fillId="0" borderId="80" xfId="0" applyFont="1" applyBorder="1" applyAlignment="1" applyProtection="1">
      <alignment vertical="top" wrapText="1"/>
    </xf>
    <xf numFmtId="0" fontId="66" fillId="0" borderId="0" xfId="0" applyFont="1" applyAlignment="1" applyProtection="1">
      <alignment wrapText="1"/>
    </xf>
    <xf numFmtId="0" fontId="16" fillId="0" borderId="91" xfId="0" applyFont="1" applyBorder="1" applyAlignment="1" applyProtection="1">
      <alignment wrapText="1"/>
    </xf>
    <xf numFmtId="0" fontId="16" fillId="10" borderId="91" xfId="0" applyFont="1" applyFill="1" applyBorder="1" applyAlignment="1" applyProtection="1">
      <alignment wrapText="1"/>
    </xf>
    <xf numFmtId="0" fontId="0" fillId="0" borderId="91" xfId="0" applyBorder="1" applyAlignment="1" applyProtection="1">
      <alignment wrapText="1"/>
    </xf>
    <xf numFmtId="0" fontId="0" fillId="0" borderId="80" xfId="0" applyBorder="1" applyAlignment="1" applyProtection="1">
      <alignment wrapText="1"/>
    </xf>
    <xf numFmtId="0" fontId="9" fillId="0" borderId="91" xfId="0" applyFont="1" applyBorder="1" applyAlignment="1" applyProtection="1">
      <alignment wrapText="1"/>
    </xf>
    <xf numFmtId="0" fontId="14" fillId="0" borderId="91" xfId="0" applyFont="1" applyBorder="1" applyAlignment="1" applyProtection="1">
      <alignment wrapText="1"/>
    </xf>
    <xf numFmtId="0" fontId="66" fillId="0" borderId="0" xfId="0" applyFont="1" applyProtection="1"/>
    <xf numFmtId="0" fontId="0" fillId="0" borderId="0" xfId="0" applyFont="1" applyProtection="1"/>
    <xf numFmtId="0" fontId="66" fillId="0" borderId="0" xfId="0" applyFont="1" applyAlignment="1" applyProtection="1">
      <alignment horizontal="left"/>
    </xf>
    <xf numFmtId="0" fontId="0" fillId="15" borderId="0" xfId="0" applyFont="1" applyFill="1" applyAlignment="1" applyProtection="1">
      <alignment wrapText="1"/>
    </xf>
    <xf numFmtId="0" fontId="22" fillId="12" borderId="3" xfId="0" applyFont="1" applyFill="1" applyBorder="1" applyAlignment="1" applyProtection="1">
      <alignment horizontal="left" vertical="center" indent="1"/>
    </xf>
    <xf numFmtId="0" fontId="64" fillId="19" borderId="91" xfId="0" applyFont="1" applyFill="1" applyBorder="1" applyAlignment="1" applyProtection="1">
      <alignment wrapText="1"/>
    </xf>
    <xf numFmtId="0" fontId="0" fillId="15" borderId="91" xfId="0" applyFont="1" applyFill="1" applyBorder="1" applyAlignment="1" applyProtection="1">
      <alignment wrapText="1"/>
    </xf>
    <xf numFmtId="0" fontId="66" fillId="20" borderId="0" xfId="0" applyFont="1" applyFill="1" applyAlignment="1" applyProtection="1">
      <alignment wrapText="1"/>
    </xf>
    <xf numFmtId="0" fontId="14" fillId="12" borderId="3" xfId="0" applyFont="1" applyFill="1" applyBorder="1" applyAlignment="1" applyProtection="1">
      <alignment horizontal="left" vertical="center" indent="1"/>
    </xf>
    <xf numFmtId="0" fontId="14" fillId="12" borderId="3" xfId="0" applyFont="1" applyFill="1" applyBorder="1" applyAlignment="1" applyProtection="1">
      <alignment horizontal="left" vertical="center" wrapText="1"/>
    </xf>
    <xf numFmtId="0" fontId="0" fillId="21" borderId="91" xfId="0" applyFont="1" applyFill="1" applyBorder="1" applyAlignment="1" applyProtection="1">
      <alignment wrapText="1"/>
    </xf>
    <xf numFmtId="0" fontId="66" fillId="22" borderId="92" xfId="0" applyFont="1" applyFill="1" applyBorder="1" applyAlignment="1" applyProtection="1">
      <alignment wrapText="1"/>
    </xf>
    <xf numFmtId="0" fontId="16" fillId="9" borderId="8" xfId="0" applyFont="1" applyFill="1" applyBorder="1" applyAlignment="1" applyProtection="1">
      <alignment horizontal="left" vertical="center" wrapText="1" indent="1"/>
    </xf>
    <xf numFmtId="0" fontId="0" fillId="9" borderId="93" xfId="0" applyFont="1" applyFill="1" applyBorder="1" applyAlignment="1" applyProtection="1">
      <alignment wrapText="1"/>
    </xf>
    <xf numFmtId="0" fontId="81" fillId="9" borderId="93" xfId="0" applyFont="1" applyFill="1" applyBorder="1" applyAlignment="1" applyProtection="1">
      <alignment wrapText="1"/>
    </xf>
    <xf numFmtId="0" fontId="0" fillId="19" borderId="91" xfId="0" applyFont="1" applyFill="1" applyBorder="1" applyAlignment="1" applyProtection="1">
      <alignment wrapText="1"/>
    </xf>
    <xf numFmtId="0" fontId="66" fillId="22" borderId="91" xfId="0" applyFont="1" applyFill="1" applyBorder="1" applyAlignment="1" applyProtection="1">
      <alignment wrapText="1"/>
    </xf>
    <xf numFmtId="0" fontId="16" fillId="9" borderId="8" xfId="0" applyFont="1" applyFill="1" applyBorder="1" applyAlignment="1" applyProtection="1">
      <alignment horizontal="left" vertical="center" indent="1"/>
    </xf>
    <xf numFmtId="0" fontId="0" fillId="9" borderId="91" xfId="0" applyFont="1" applyFill="1" applyBorder="1" applyAlignment="1" applyProtection="1">
      <alignment wrapText="1"/>
    </xf>
    <xf numFmtId="0" fontId="16" fillId="9" borderId="2" xfId="0" applyFont="1" applyFill="1" applyBorder="1" applyAlignment="1" applyProtection="1">
      <alignment horizontal="left" vertical="center" wrapText="1" indent="1"/>
    </xf>
    <xf numFmtId="0" fontId="66" fillId="20" borderId="91" xfId="0" applyFont="1" applyFill="1" applyBorder="1" applyAlignment="1" applyProtection="1">
      <alignment wrapText="1"/>
    </xf>
    <xf numFmtId="0" fontId="16" fillId="9" borderId="6" xfId="0" applyFont="1" applyFill="1" applyBorder="1" applyAlignment="1" applyProtection="1">
      <alignment horizontal="left" vertical="center" wrapText="1" indent="1"/>
    </xf>
    <xf numFmtId="0" fontId="16" fillId="9" borderId="6" xfId="0" applyFont="1" applyFill="1" applyBorder="1" applyAlignment="1" applyProtection="1">
      <alignment horizontal="left" vertical="center" indent="1"/>
    </xf>
    <xf numFmtId="0" fontId="16" fillId="9" borderId="0" xfId="0" applyFont="1" applyFill="1" applyBorder="1" applyAlignment="1" applyProtection="1">
      <alignment horizontal="left" vertical="center" wrapText="1" indent="1"/>
    </xf>
    <xf numFmtId="0" fontId="16" fillId="9" borderId="0" xfId="0" applyFont="1" applyFill="1" applyAlignment="1" applyProtection="1">
      <alignment horizontal="left" vertical="center" wrapText="1" indent="1"/>
    </xf>
    <xf numFmtId="0" fontId="0" fillId="0" borderId="94" xfId="0" applyFont="1" applyBorder="1" applyProtection="1"/>
    <xf numFmtId="0" fontId="81" fillId="9" borderId="91" xfId="0" applyFont="1" applyFill="1" applyBorder="1" applyAlignment="1" applyProtection="1">
      <alignment wrapText="1"/>
    </xf>
    <xf numFmtId="0" fontId="66" fillId="7" borderId="0" xfId="0" applyFont="1" applyFill="1" applyAlignment="1" applyProtection="1">
      <alignment wrapText="1"/>
    </xf>
    <xf numFmtId="0" fontId="1" fillId="0" borderId="91" xfId="0" applyFont="1" applyBorder="1" applyAlignment="1" applyProtection="1">
      <alignment wrapText="1"/>
    </xf>
    <xf numFmtId="0" fontId="1" fillId="0" borderId="80" xfId="0" applyFont="1" applyBorder="1" applyAlignment="1" applyProtection="1">
      <alignment wrapText="1"/>
    </xf>
    <xf numFmtId="0" fontId="82" fillId="0" borderId="91" xfId="0" applyFont="1" applyBorder="1" applyAlignment="1" applyProtection="1">
      <alignment wrapText="1"/>
    </xf>
    <xf numFmtId="0" fontId="78" fillId="0" borderId="80" xfId="0" applyFont="1" applyBorder="1" applyAlignment="1" applyProtection="1">
      <alignment wrapText="1"/>
    </xf>
    <xf numFmtId="0" fontId="68" fillId="9" borderId="58" xfId="0" applyFont="1" applyFill="1" applyBorder="1" applyAlignment="1" applyProtection="1">
      <alignment horizontal="left" vertical="center"/>
    </xf>
    <xf numFmtId="0" fontId="12" fillId="9" borderId="58" xfId="0" applyFont="1" applyFill="1" applyBorder="1" applyAlignment="1" applyProtection="1">
      <alignment vertical="center" wrapText="1"/>
    </xf>
    <xf numFmtId="0" fontId="68" fillId="9" borderId="0" xfId="0" applyFont="1" applyFill="1" applyBorder="1" applyAlignment="1" applyProtection="1">
      <alignment horizontal="left" vertical="center"/>
    </xf>
    <xf numFmtId="0" fontId="12" fillId="9" borderId="0" xfId="0" applyFont="1" applyFill="1" applyBorder="1" applyAlignment="1" applyProtection="1">
      <alignment vertical="center" wrapText="1"/>
    </xf>
    <xf numFmtId="0" fontId="68" fillId="9" borderId="59" xfId="0" applyFont="1" applyFill="1" applyBorder="1" applyAlignment="1" applyProtection="1">
      <alignment horizontal="right" vertical="center"/>
    </xf>
    <xf numFmtId="0" fontId="12" fillId="9" borderId="59" xfId="0" applyFont="1" applyFill="1" applyBorder="1" applyAlignment="1" applyProtection="1">
      <alignment vertical="center" wrapText="1"/>
    </xf>
    <xf numFmtId="0" fontId="68" fillId="9" borderId="60" xfId="0" applyFont="1" applyFill="1" applyBorder="1" applyAlignment="1" applyProtection="1">
      <alignment horizontal="right" vertical="center"/>
    </xf>
    <xf numFmtId="0" fontId="12" fillId="9" borderId="60" xfId="0" applyFont="1" applyFill="1" applyBorder="1" applyAlignment="1" applyProtection="1">
      <alignment vertical="center" wrapText="1"/>
    </xf>
    <xf numFmtId="0" fontId="27" fillId="9" borderId="60" xfId="0" applyFont="1" applyFill="1" applyBorder="1" applyAlignment="1" applyProtection="1">
      <alignment vertical="center" wrapText="1"/>
    </xf>
    <xf numFmtId="0" fontId="68" fillId="9" borderId="60" xfId="0" applyFont="1" applyFill="1" applyBorder="1" applyAlignment="1" applyProtection="1">
      <alignment horizontal="right" vertical="center" wrapText="1"/>
    </xf>
    <xf numFmtId="0" fontId="12" fillId="10" borderId="60" xfId="0" applyFont="1" applyFill="1" applyBorder="1" applyAlignment="1" applyProtection="1">
      <alignment vertical="center" wrapText="1"/>
    </xf>
    <xf numFmtId="0" fontId="83" fillId="9" borderId="60" xfId="0" applyFont="1" applyFill="1" applyBorder="1" applyAlignment="1" applyProtection="1">
      <alignment vertical="center" wrapText="1"/>
    </xf>
    <xf numFmtId="0" fontId="84" fillId="9" borderId="60" xfId="0" applyFont="1" applyFill="1" applyBorder="1" applyAlignment="1" applyProtection="1">
      <alignment vertical="center" wrapText="1"/>
    </xf>
    <xf numFmtId="0" fontId="68" fillId="9" borderId="61" xfId="0" applyFont="1" applyFill="1" applyBorder="1" applyAlignment="1" applyProtection="1">
      <alignment horizontal="right" vertical="center" wrapText="1"/>
    </xf>
    <xf numFmtId="0" fontId="12" fillId="9" borderId="61" xfId="0" applyFont="1" applyFill="1" applyBorder="1" applyAlignment="1" applyProtection="1">
      <alignment vertical="center" wrapText="1"/>
    </xf>
    <xf numFmtId="0" fontId="0" fillId="0" borderId="0" xfId="0" applyFont="1" applyFill="1" applyAlignment="1" applyProtection="1">
      <alignment wrapText="1"/>
    </xf>
    <xf numFmtId="0" fontId="85" fillId="0" borderId="0" xfId="0" applyFont="1" applyAlignment="1" applyProtection="1">
      <alignment horizontal="left" vertical="center" indent="1"/>
    </xf>
    <xf numFmtId="0" fontId="27" fillId="10" borderId="0" xfId="0" applyFont="1" applyFill="1" applyAlignment="1" applyProtection="1">
      <alignment horizontal="left"/>
    </xf>
    <xf numFmtId="49" fontId="86" fillId="0" borderId="0" xfId="0" applyNumberFormat="1" applyFont="1" applyAlignment="1" applyProtection="1">
      <alignment vertical="top"/>
    </xf>
    <xf numFmtId="0" fontId="27" fillId="0" borderId="0" xfId="0" applyFont="1" applyAlignment="1" applyProtection="1">
      <alignment horizontal="left"/>
    </xf>
    <xf numFmtId="0" fontId="38" fillId="0" borderId="0" xfId="0" applyFont="1" applyProtection="1"/>
    <xf numFmtId="0" fontId="0" fillId="0" borderId="0" xfId="0" applyFont="1" applyBorder="1" applyAlignment="1" applyProtection="1">
      <alignment wrapText="1"/>
    </xf>
    <xf numFmtId="0" fontId="27" fillId="0" borderId="0" xfId="0" applyFont="1" applyProtection="1"/>
    <xf numFmtId="164" fontId="14" fillId="9" borderId="57" xfId="0" applyNumberFormat="1" applyFont="1" applyFill="1" applyBorder="1" applyAlignment="1">
      <alignment horizontal="center" vertical="center"/>
    </xf>
    <xf numFmtId="164" fontId="22" fillId="12" borderId="57" xfId="0" applyNumberFormat="1" applyFont="1" applyFill="1" applyBorder="1" applyAlignment="1">
      <alignment horizontal="center" vertical="center"/>
    </xf>
    <xf numFmtId="0" fontId="15" fillId="9" borderId="0" xfId="0" applyFont="1" applyFill="1" applyBorder="1" applyAlignment="1" applyProtection="1">
      <alignment horizontal="left" vertical="center"/>
    </xf>
    <xf numFmtId="0" fontId="16" fillId="9" borderId="0" xfId="0" applyFont="1" applyFill="1" applyBorder="1" applyAlignment="1" applyProtection="1">
      <alignment horizontal="left" vertical="center" wrapText="1"/>
    </xf>
    <xf numFmtId="0" fontId="14" fillId="9" borderId="0"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4" fillId="9" borderId="0"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8" fillId="9" borderId="0" xfId="12" applyNumberFormat="1" applyFont="1" applyFill="1" applyBorder="1" applyAlignment="1" applyProtection="1">
      <alignment horizontal="left" vertical="center" wrapText="1"/>
    </xf>
    <xf numFmtId="0" fontId="21" fillId="9" borderId="3" xfId="0" applyFont="1" applyFill="1" applyBorder="1" applyAlignment="1" applyProtection="1">
      <alignment horizontal="left" vertical="center"/>
    </xf>
    <xf numFmtId="0" fontId="16" fillId="9" borderId="2" xfId="0" applyFont="1" applyFill="1" applyBorder="1" applyAlignment="1" applyProtection="1">
      <alignment horizontal="left" vertical="center"/>
    </xf>
    <xf numFmtId="0" fontId="22" fillId="17" borderId="0" xfId="0" applyFont="1" applyFill="1" applyBorder="1" applyAlignment="1" applyProtection="1">
      <alignment horizontal="left" vertical="center"/>
    </xf>
    <xf numFmtId="0" fontId="19" fillId="0" borderId="0" xfId="0" applyFont="1" applyFill="1" applyBorder="1"/>
    <xf numFmtId="0" fontId="18" fillId="9" borderId="0" xfId="0" applyFont="1" applyFill="1" applyBorder="1" applyAlignment="1" applyProtection="1">
      <alignment horizontal="right" vertical="top" wrapText="1"/>
    </xf>
    <xf numFmtId="0" fontId="18" fillId="9" borderId="0" xfId="12" applyNumberFormat="1" applyFont="1" applyFill="1" applyBorder="1" applyAlignment="1" applyProtection="1">
      <alignment horizontal="left" vertical="top" wrapText="1"/>
    </xf>
    <xf numFmtId="0" fontId="92" fillId="24" borderId="113" xfId="0" applyFont="1" applyFill="1" applyBorder="1" applyAlignment="1" applyProtection="1">
      <alignment horizontal="left" vertical="center"/>
      <protection locked="0"/>
    </xf>
    <xf numFmtId="0" fontId="92" fillId="24" borderId="114" xfId="0" applyFont="1" applyFill="1" applyBorder="1" applyAlignment="1" applyProtection="1">
      <alignment horizontal="left" vertical="center"/>
      <protection locked="0"/>
    </xf>
    <xf numFmtId="0" fontId="13" fillId="9" borderId="0" xfId="0" applyFont="1" applyFill="1" applyBorder="1" applyAlignment="1" applyProtection="1"/>
    <xf numFmtId="0" fontId="16" fillId="9" borderId="0" xfId="0" applyFont="1" applyFill="1" applyBorder="1" applyAlignment="1" applyProtection="1">
      <alignment horizontal="left" vertical="top" wrapText="1"/>
    </xf>
    <xf numFmtId="0" fontId="14" fillId="9" borderId="0" xfId="0" applyFont="1" applyFill="1" applyBorder="1" applyAlignment="1">
      <alignment horizontal="left" vertical="center"/>
    </xf>
    <xf numFmtId="0" fontId="13" fillId="9" borderId="0" xfId="0" applyFont="1" applyFill="1" applyBorder="1" applyAlignment="1">
      <alignment horizontal="left" vertical="center"/>
    </xf>
    <xf numFmtId="0" fontId="13" fillId="9" borderId="0" xfId="0" applyFont="1" applyFill="1" applyBorder="1" applyAlignment="1" applyProtection="1">
      <alignment horizontal="left" vertical="center"/>
    </xf>
    <xf numFmtId="0" fontId="16" fillId="15" borderId="0" xfId="0" applyFont="1" applyFill="1" applyBorder="1" applyAlignment="1" applyProtection="1">
      <alignment horizontal="left" vertical="center" wrapText="1"/>
    </xf>
    <xf numFmtId="0" fontId="12" fillId="9" borderId="9" xfId="0" applyFont="1" applyFill="1" applyBorder="1" applyAlignment="1" applyProtection="1">
      <alignment horizontal="left" vertical="center"/>
    </xf>
    <xf numFmtId="0" fontId="12" fillId="9" borderId="8" xfId="0" applyFont="1" applyFill="1" applyBorder="1" applyAlignment="1">
      <alignment horizontal="left" vertical="center"/>
    </xf>
    <xf numFmtId="164" fontId="22" fillId="11" borderId="97" xfId="0" applyNumberFormat="1" applyFont="1" applyFill="1" applyBorder="1" applyAlignment="1">
      <alignment horizontal="center" vertical="center"/>
    </xf>
    <xf numFmtId="0" fontId="22" fillId="12" borderId="3" xfId="0" applyFont="1" applyFill="1" applyBorder="1" applyAlignment="1">
      <alignment horizontal="left" vertical="center" indent="1"/>
    </xf>
    <xf numFmtId="0" fontId="22" fillId="11" borderId="0" xfId="0" applyFont="1" applyFill="1" applyBorder="1" applyAlignment="1">
      <alignment horizontal="left" vertical="center" indent="1"/>
    </xf>
    <xf numFmtId="164" fontId="22" fillId="11" borderId="0" xfId="0" applyNumberFormat="1" applyFont="1" applyFill="1" applyBorder="1" applyAlignment="1">
      <alignment horizontal="center" vertical="center"/>
    </xf>
    <xf numFmtId="1" fontId="22" fillId="11" borderId="0" xfId="0" applyNumberFormat="1" applyFont="1" applyFill="1" applyBorder="1" applyAlignment="1">
      <alignment horizontal="center" vertical="center"/>
    </xf>
    <xf numFmtId="0" fontId="27" fillId="9" borderId="0" xfId="0" applyFont="1" applyFill="1" applyBorder="1" applyAlignment="1" applyProtection="1">
      <alignment horizontal="right"/>
    </xf>
    <xf numFmtId="0" fontId="13" fillId="9" borderId="0" xfId="0" applyFont="1" applyFill="1" applyBorder="1" applyAlignment="1">
      <alignment horizontal="left" vertical="top"/>
    </xf>
    <xf numFmtId="0" fontId="14" fillId="9" borderId="95" xfId="0" applyFont="1" applyFill="1" applyBorder="1" applyAlignment="1">
      <alignment horizontal="left" vertical="center" indent="1"/>
    </xf>
    <xf numFmtId="164" fontId="14" fillId="9" borderId="96" xfId="0" applyNumberFormat="1" applyFont="1" applyFill="1" applyBorder="1" applyAlignment="1">
      <alignment horizontal="center" vertical="center"/>
    </xf>
    <xf numFmtId="1" fontId="14" fillId="9" borderId="96" xfId="0" applyNumberFormat="1" applyFont="1" applyFill="1" applyBorder="1" applyAlignment="1">
      <alignment horizontal="center" vertical="center"/>
    </xf>
    <xf numFmtId="1" fontId="14" fillId="9" borderId="87" xfId="0" applyNumberFormat="1" applyFont="1" applyFill="1" applyBorder="1" applyAlignment="1">
      <alignment horizontal="center" vertical="center"/>
    </xf>
    <xf numFmtId="0" fontId="16" fillId="9" borderId="0" xfId="0" applyFont="1" applyFill="1" applyBorder="1" applyAlignment="1">
      <alignment horizontal="left" vertical="center"/>
    </xf>
    <xf numFmtId="0" fontId="49" fillId="12" borderId="0" xfId="0" applyFont="1" applyFill="1" applyBorder="1" applyAlignment="1" applyProtection="1">
      <alignment horizontal="center" vertical="center" wrapText="1"/>
    </xf>
    <xf numFmtId="0" fontId="40" fillId="0" borderId="12" xfId="0" applyFont="1" applyBorder="1" applyAlignment="1">
      <alignment horizontal="center" wrapText="1"/>
    </xf>
    <xf numFmtId="0" fontId="49" fillId="12" borderId="0" xfId="0" applyFont="1" applyFill="1" applyBorder="1" applyAlignment="1" applyProtection="1">
      <alignment horizontal="center" vertical="center" textRotation="90" wrapText="1"/>
    </xf>
    <xf numFmtId="0" fontId="53" fillId="12" borderId="100" xfId="0" applyFont="1" applyFill="1" applyBorder="1" applyAlignment="1" applyProtection="1">
      <alignment horizontal="center" vertical="center" wrapText="1"/>
    </xf>
    <xf numFmtId="0" fontId="53" fillId="14" borderId="100" xfId="0" applyFont="1" applyFill="1" applyBorder="1" applyAlignment="1" applyProtection="1">
      <alignment horizontal="center" vertical="center" wrapText="1"/>
    </xf>
    <xf numFmtId="0" fontId="53" fillId="14" borderId="101" xfId="0" applyFont="1" applyFill="1" applyBorder="1" applyAlignment="1" applyProtection="1">
      <alignment horizontal="center" vertical="center" wrapText="1"/>
    </xf>
    <xf numFmtId="0" fontId="45" fillId="12" borderId="98" xfId="0" applyFont="1" applyFill="1" applyBorder="1" applyAlignment="1" applyProtection="1">
      <alignment horizontal="center" vertical="center" wrapText="1"/>
    </xf>
    <xf numFmtId="0" fontId="47" fillId="13" borderId="31" xfId="0" applyFont="1" applyFill="1" applyBorder="1" applyAlignment="1" applyProtection="1">
      <alignment horizontal="center" vertical="center" textRotation="90" wrapText="1"/>
    </xf>
    <xf numFmtId="1" fontId="47" fillId="13" borderId="98" xfId="0" applyNumberFormat="1" applyFont="1" applyFill="1" applyBorder="1" applyAlignment="1" applyProtection="1">
      <alignment horizontal="center" vertical="center" textRotation="90" wrapText="1"/>
    </xf>
    <xf numFmtId="0" fontId="53" fillId="12" borderId="19" xfId="0" applyFont="1" applyFill="1" applyBorder="1" applyAlignment="1" applyProtection="1">
      <alignment horizontal="center" vertical="center" wrapText="1"/>
    </xf>
    <xf numFmtId="0" fontId="53" fillId="14" borderId="20" xfId="0" applyFont="1" applyFill="1" applyBorder="1" applyAlignment="1" applyProtection="1">
      <alignment horizontal="center" vertical="center" wrapText="1"/>
    </xf>
    <xf numFmtId="0" fontId="53" fillId="14" borderId="21" xfId="0" applyFont="1" applyFill="1" applyBorder="1" applyAlignment="1" applyProtection="1">
      <alignment horizontal="center" vertical="center" wrapText="1"/>
    </xf>
    <xf numFmtId="0" fontId="49" fillId="14" borderId="102" xfId="0" applyFont="1" applyFill="1" applyBorder="1" applyAlignment="1" applyProtection="1">
      <alignment horizontal="right" vertical="center" wrapText="1"/>
    </xf>
    <xf numFmtId="0" fontId="45" fillId="12" borderId="31" xfId="0" applyFont="1" applyFill="1" applyBorder="1" applyAlignment="1" applyProtection="1">
      <alignment horizontal="center" vertical="center" wrapText="1"/>
    </xf>
    <xf numFmtId="0" fontId="53" fillId="12" borderId="99" xfId="0" applyFont="1" applyFill="1" applyBorder="1" applyAlignment="1" applyProtection="1">
      <alignment horizontal="center" vertical="center" wrapText="1"/>
    </xf>
    <xf numFmtId="0" fontId="53" fillId="12" borderId="20" xfId="0" applyFont="1" applyFill="1" applyBorder="1" applyAlignment="1" applyProtection="1">
      <alignment horizontal="center" vertical="center" wrapText="1"/>
    </xf>
    <xf numFmtId="0" fontId="49" fillId="14" borderId="36" xfId="0" applyFont="1" applyFill="1" applyBorder="1" applyAlignment="1" applyProtection="1">
      <alignment horizontal="right" vertical="center" wrapText="1"/>
    </xf>
    <xf numFmtId="0" fontId="49" fillId="14" borderId="0" xfId="0" applyFont="1" applyFill="1" applyBorder="1" applyAlignment="1" applyProtection="1">
      <alignment horizontal="right" vertical="center" wrapText="1"/>
    </xf>
    <xf numFmtId="0" fontId="49" fillId="14" borderId="31" xfId="0" applyFont="1" applyFill="1" applyBorder="1" applyAlignment="1" applyProtection="1">
      <alignment horizontal="right" vertical="center" wrapText="1"/>
    </xf>
    <xf numFmtId="0" fontId="41" fillId="12" borderId="36" xfId="0" applyFont="1" applyFill="1" applyBorder="1" applyAlignment="1" applyProtection="1">
      <alignment horizontal="right" vertical="center" wrapText="1"/>
    </xf>
    <xf numFmtId="0" fontId="53" fillId="14" borderId="19" xfId="0" applyFont="1" applyFill="1" applyBorder="1" applyAlignment="1" applyProtection="1">
      <alignment horizontal="center" vertical="center" wrapText="1"/>
    </xf>
    <xf numFmtId="0" fontId="49" fillId="14" borderId="46" xfId="0" applyFont="1" applyFill="1" applyBorder="1" applyAlignment="1" applyProtection="1">
      <alignment horizontal="center" vertical="center" wrapText="1"/>
    </xf>
    <xf numFmtId="0" fontId="53" fillId="14" borderId="99" xfId="0" applyFont="1" applyFill="1" applyBorder="1" applyAlignment="1" applyProtection="1">
      <alignment horizontal="center" vertical="center" wrapText="1"/>
    </xf>
    <xf numFmtId="0" fontId="41" fillId="12" borderId="17" xfId="0" applyFont="1" applyFill="1" applyBorder="1" applyAlignment="1" applyProtection="1">
      <alignment horizontal="left" vertical="center" wrapText="1"/>
    </xf>
    <xf numFmtId="0" fontId="52" fillId="9" borderId="0" xfId="0" applyFont="1" applyFill="1" applyBorder="1" applyAlignment="1" applyProtection="1">
      <alignment horizontal="center" vertical="center" wrapText="1"/>
    </xf>
    <xf numFmtId="0" fontId="49" fillId="14" borderId="11" xfId="0" applyFont="1" applyFill="1" applyBorder="1" applyAlignment="1" applyProtection="1">
      <alignment horizontal="right" vertical="center" wrapText="1"/>
    </xf>
    <xf numFmtId="0" fontId="47" fillId="13" borderId="98" xfId="0" applyFont="1" applyFill="1" applyBorder="1" applyAlignment="1" applyProtection="1">
      <alignment horizontal="center" vertical="center" textRotation="90" wrapText="1"/>
    </xf>
    <xf numFmtId="0" fontId="45" fillId="12" borderId="0" xfId="0" applyFont="1" applyFill="1" applyBorder="1" applyAlignment="1" applyProtection="1">
      <alignment horizontal="center" vertical="center" textRotation="90" wrapText="1"/>
    </xf>
    <xf numFmtId="0" fontId="47" fillId="13" borderId="0" xfId="0" applyFont="1" applyFill="1" applyBorder="1" applyAlignment="1" applyProtection="1">
      <alignment horizontal="center" vertical="center" wrapText="1"/>
    </xf>
    <xf numFmtId="3" fontId="48" fillId="0" borderId="86" xfId="0" applyNumberFormat="1" applyFont="1" applyFill="1" applyBorder="1" applyAlignment="1" applyProtection="1">
      <alignment horizontal="center" vertical="center" wrapText="1"/>
    </xf>
    <xf numFmtId="3" fontId="44" fillId="13" borderId="0" xfId="0" applyNumberFormat="1" applyFont="1" applyFill="1" applyBorder="1" applyAlignment="1" applyProtection="1">
      <alignment horizontal="right" vertical="center" wrapText="1"/>
    </xf>
    <xf numFmtId="3" fontId="43" fillId="13" borderId="0" xfId="0" applyNumberFormat="1" applyFont="1" applyFill="1" applyBorder="1" applyAlignment="1" applyProtection="1">
      <alignment horizontal="left" vertical="top" wrapText="1"/>
    </xf>
    <xf numFmtId="0" fontId="44" fillId="13" borderId="0" xfId="0" applyFont="1" applyFill="1" applyBorder="1" applyAlignment="1">
      <alignment horizontal="center" vertical="center" textRotation="90" wrapText="1"/>
    </xf>
    <xf numFmtId="0" fontId="64" fillId="12" borderId="105" xfId="0" applyFont="1" applyFill="1" applyBorder="1" applyAlignment="1" applyProtection="1">
      <alignment horizontal="center" vertical="center" wrapText="1"/>
    </xf>
    <xf numFmtId="0" fontId="65" fillId="9" borderId="106" xfId="14" applyFont="1" applyFill="1" applyBorder="1" applyAlignment="1" applyProtection="1">
      <alignment horizontal="left" vertical="center" wrapText="1" indent="1"/>
    </xf>
    <xf numFmtId="0" fontId="64" fillId="12" borderId="107" xfId="0" applyFont="1" applyFill="1" applyBorder="1" applyAlignment="1" applyProtection="1">
      <alignment horizontal="center" vertical="center" wrapText="1"/>
    </xf>
    <xf numFmtId="0" fontId="64" fillId="12" borderId="106" xfId="0" applyFont="1" applyFill="1" applyBorder="1" applyAlignment="1" applyProtection="1">
      <alignment horizontal="center" vertical="center" wrapText="1"/>
    </xf>
    <xf numFmtId="0" fontId="27" fillId="9" borderId="2" xfId="0" applyFont="1" applyFill="1" applyBorder="1" applyAlignment="1" applyProtection="1">
      <alignment horizontal="right" vertical="top"/>
    </xf>
    <xf numFmtId="0" fontId="64" fillId="11" borderId="6" xfId="0" applyFont="1" applyFill="1" applyBorder="1" applyAlignment="1" applyProtection="1">
      <alignment horizontal="center" vertical="center" wrapText="1"/>
    </xf>
    <xf numFmtId="0" fontId="64" fillId="11" borderId="105" xfId="0" applyFont="1" applyFill="1" applyBorder="1" applyAlignment="1" applyProtection="1">
      <alignment horizontal="center" vertical="center" wrapText="1"/>
    </xf>
    <xf numFmtId="0" fontId="61" fillId="9" borderId="0" xfId="0" applyFont="1" applyFill="1" applyBorder="1" applyAlignment="1" applyProtection="1">
      <alignment horizontal="right" vertical="center"/>
    </xf>
    <xf numFmtId="0" fontId="62" fillId="9" borderId="0" xfId="0" applyFont="1" applyFill="1" applyBorder="1" applyAlignment="1" applyProtection="1">
      <alignment horizontal="left" vertical="top"/>
    </xf>
    <xf numFmtId="0" fontId="14" fillId="9" borderId="103" xfId="0" applyFont="1" applyFill="1" applyBorder="1" applyAlignment="1" applyProtection="1">
      <alignment horizontal="right" vertical="center"/>
    </xf>
    <xf numFmtId="1" fontId="14" fillId="9" borderId="2" xfId="0" applyNumberFormat="1" applyFont="1" applyFill="1" applyBorder="1" applyAlignment="1" applyProtection="1">
      <alignment horizontal="right" vertical="center"/>
    </xf>
    <xf numFmtId="1" fontId="14" fillId="9" borderId="104" xfId="0" applyNumberFormat="1" applyFont="1" applyFill="1" applyBorder="1" applyAlignment="1" applyProtection="1">
      <alignment horizontal="left" vertical="center"/>
    </xf>
    <xf numFmtId="0" fontId="14" fillId="9" borderId="0" xfId="0" applyFont="1" applyFill="1" applyBorder="1" applyAlignment="1">
      <alignment horizontal="left" vertical="center" indent="7"/>
    </xf>
    <xf numFmtId="0" fontId="13" fillId="9" borderId="0" xfId="0" applyFont="1" applyFill="1" applyBorder="1" applyAlignment="1">
      <alignment horizontal="left" indent="7"/>
    </xf>
    <xf numFmtId="0" fontId="66" fillId="9" borderId="0" xfId="0" applyFont="1" applyFill="1" applyBorder="1" applyAlignment="1">
      <alignment horizontal="left" vertical="center"/>
    </xf>
    <xf numFmtId="0" fontId="0" fillId="9" borderId="0" xfId="0" applyFill="1" applyBorder="1" applyAlignment="1">
      <alignment horizontal="left" vertical="top" wrapText="1"/>
    </xf>
    <xf numFmtId="1" fontId="22" fillId="12" borderId="1" xfId="0" applyNumberFormat="1" applyFont="1" applyFill="1" applyBorder="1" applyAlignment="1">
      <alignment horizontal="left" vertical="center" indent="1"/>
    </xf>
    <xf numFmtId="0" fontId="27" fillId="0" borderId="0" xfId="0" applyFont="1" applyBorder="1" applyAlignment="1">
      <alignment horizontal="center" vertical="center" wrapText="1"/>
    </xf>
    <xf numFmtId="0" fontId="64" fillId="11" borderId="13" xfId="0" applyFont="1" applyFill="1" applyBorder="1" applyAlignment="1">
      <alignment horizontal="center" vertical="center" wrapText="1"/>
    </xf>
    <xf numFmtId="0" fontId="72" fillId="0" borderId="108" xfId="0" applyFont="1" applyBorder="1" applyAlignment="1">
      <alignment horizontal="center" vertical="center" wrapText="1"/>
    </xf>
    <xf numFmtId="3" fontId="72" fillId="0" borderId="108" xfId="0" applyNumberFormat="1" applyFont="1" applyFill="1" applyBorder="1" applyAlignment="1" applyProtection="1">
      <alignment horizontal="center" vertical="center" wrapText="1"/>
    </xf>
    <xf numFmtId="3" fontId="72" fillId="12" borderId="12" xfId="0" applyNumberFormat="1" applyFont="1" applyFill="1" applyBorder="1" applyAlignment="1" applyProtection="1">
      <alignment horizontal="center" vertical="center" wrapText="1"/>
    </xf>
    <xf numFmtId="3" fontId="72" fillId="12" borderId="108" xfId="0" applyNumberFormat="1" applyFont="1" applyFill="1" applyBorder="1" applyAlignment="1" applyProtection="1">
      <alignment horizontal="center" vertical="center" wrapText="1"/>
    </xf>
    <xf numFmtId="3" fontId="72" fillId="12" borderId="109" xfId="0" applyNumberFormat="1" applyFont="1" applyFill="1" applyBorder="1" applyAlignment="1" applyProtection="1">
      <alignment horizontal="center" vertical="center" wrapText="1"/>
    </xf>
    <xf numFmtId="0" fontId="72" fillId="0" borderId="110" xfId="0" applyFont="1" applyFill="1" applyBorder="1" applyAlignment="1">
      <alignment horizontal="center" vertical="center" wrapText="1"/>
    </xf>
    <xf numFmtId="0" fontId="72" fillId="0" borderId="5" xfId="0" applyFont="1" applyBorder="1" applyAlignment="1">
      <alignment horizontal="center"/>
    </xf>
    <xf numFmtId="0" fontId="70" fillId="12" borderId="111" xfId="0" applyFont="1" applyFill="1" applyBorder="1" applyAlignment="1" applyProtection="1">
      <alignment horizontal="center" vertical="center" wrapText="1"/>
    </xf>
    <xf numFmtId="0" fontId="70" fillId="12" borderId="12" xfId="0" applyFont="1" applyFill="1" applyBorder="1" applyAlignment="1" applyProtection="1">
      <alignment horizontal="center" vertical="center" wrapText="1"/>
    </xf>
    <xf numFmtId="3" fontId="72" fillId="12" borderId="112" xfId="0" applyNumberFormat="1" applyFont="1" applyFill="1" applyBorder="1" applyAlignment="1" applyProtection="1">
      <alignment horizontal="center" vertical="center" wrapText="1"/>
    </xf>
    <xf numFmtId="3" fontId="72" fillId="0" borderId="81" xfId="0" applyNumberFormat="1" applyFont="1" applyFill="1" applyBorder="1" applyAlignment="1" applyProtection="1">
      <alignment horizontal="center" vertical="center" wrapText="1"/>
    </xf>
    <xf numFmtId="0" fontId="76" fillId="15" borderId="30" xfId="0" applyFont="1" applyFill="1" applyBorder="1" applyAlignment="1">
      <alignment horizontal="center"/>
    </xf>
    <xf numFmtId="3" fontId="74" fillId="12" borderId="30" xfId="0" applyNumberFormat="1" applyFont="1" applyFill="1" applyBorder="1" applyAlignment="1" applyProtection="1">
      <alignment horizontal="center" vertical="center" wrapText="1"/>
    </xf>
  </cellXfs>
  <cellStyles count="21">
    <cellStyle name="Accent 1 1" xfId="1" xr:uid="{00000000-0005-0000-0000-000000000000}"/>
    <cellStyle name="Accent 2 1" xfId="2" xr:uid="{00000000-0005-0000-0000-000001000000}"/>
    <cellStyle name="Accent 3 1" xfId="3" xr:uid="{00000000-0005-0000-0000-000002000000}"/>
    <cellStyle name="Accent 4" xfId="4" xr:uid="{00000000-0005-0000-0000-000003000000}"/>
    <cellStyle name="Bad 1" xfId="5" xr:uid="{00000000-0005-0000-0000-000004000000}"/>
    <cellStyle name="Error 1" xfId="6" xr:uid="{00000000-0005-0000-0000-000005000000}"/>
    <cellStyle name="Footnote 1" xfId="7" xr:uid="{00000000-0005-0000-0000-000006000000}"/>
    <cellStyle name="Good 1" xfId="8" xr:uid="{00000000-0005-0000-0000-000007000000}"/>
    <cellStyle name="Heading 1 1" xfId="9" xr:uid="{00000000-0005-0000-0000-000008000000}"/>
    <cellStyle name="Heading 2 1" xfId="10" xr:uid="{00000000-0005-0000-0000-000009000000}"/>
    <cellStyle name="Heading 3" xfId="11" xr:uid="{00000000-0005-0000-0000-00000A000000}"/>
    <cellStyle name="Hipervínculo" xfId="12" builtinId="8"/>
    <cellStyle name="Millares" xfId="13" builtinId="3"/>
    <cellStyle name="Normal" xfId="0" builtinId="0"/>
    <cellStyle name="Normal_4. Bilanz Testat" xfId="14" xr:uid="{00000000-0005-0000-0000-00000E000000}"/>
    <cellStyle name="Note 1" xfId="15" xr:uid="{00000000-0005-0000-0000-00000F000000}"/>
    <cellStyle name="Porcentaje" xfId="16" builtinId="5"/>
    <cellStyle name="Standard 2" xfId="17" xr:uid="{00000000-0005-0000-0000-000011000000}"/>
    <cellStyle name="Status 1" xfId="18" xr:uid="{00000000-0005-0000-0000-000012000000}"/>
    <cellStyle name="Text 1" xfId="19" xr:uid="{00000000-0005-0000-0000-000013000000}"/>
    <cellStyle name="Warning 1" xfId="20" xr:uid="{00000000-0005-0000-0000-000014000000}"/>
  </cellStyles>
  <dxfs count="26">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color rgb="FF99CC00"/>
      </font>
      <fill>
        <patternFill>
          <bgColor rgb="FF99CC00"/>
        </patternFill>
      </fill>
    </dxf>
    <dxf>
      <font>
        <color theme="0"/>
      </font>
      <fill>
        <patternFill patternType="none">
          <bgColor auto="1"/>
        </patternFill>
      </fill>
    </dxf>
    <dxf>
      <font>
        <color rgb="FF99CC00"/>
      </font>
      <fill>
        <patternFill>
          <bgColor rgb="FF99CC00"/>
        </patternFill>
      </fill>
    </dxf>
    <dxf>
      <font>
        <color theme="0"/>
      </font>
      <fill>
        <patternFill patternType="none">
          <bgColor auto="1"/>
        </patternFill>
      </fill>
    </dxf>
    <dxf>
      <font>
        <color rgb="FF99CC00"/>
      </font>
      <fill>
        <patternFill>
          <bgColor rgb="FF99CC00"/>
        </patternFill>
      </fill>
    </dxf>
    <dxf>
      <font>
        <color theme="0"/>
      </font>
      <fill>
        <patternFill patternType="none">
          <bgColor auto="1"/>
        </patternFill>
      </fill>
    </dxf>
    <dxf>
      <font>
        <color rgb="FF99CC00"/>
      </font>
      <fill>
        <patternFill>
          <bgColor rgb="FF99CC00"/>
        </patternFill>
      </fill>
    </dxf>
    <dxf>
      <font>
        <color rgb="FF333300"/>
      </font>
      <fill>
        <patternFill>
          <bgColor rgb="FF333300"/>
        </patternFill>
      </fill>
    </dxf>
    <dxf>
      <font>
        <color rgb="FF99CC00"/>
      </font>
      <fill>
        <patternFill>
          <bgColor rgb="FF99CC00"/>
        </patternFill>
      </fill>
    </dxf>
    <dxf>
      <font>
        <color rgb="FF99CC00"/>
      </font>
      <fill>
        <patternFill>
          <bgColor rgb="FF99CC00"/>
        </patternFill>
      </fill>
    </dxf>
    <dxf>
      <font>
        <color rgb="FF99CC00"/>
      </font>
      <fill>
        <patternFill>
          <bgColor rgb="FF99CC00"/>
        </patternFill>
      </fill>
    </dxf>
    <dxf>
      <font>
        <color rgb="FF99CC00"/>
      </font>
      <fill>
        <patternFill>
          <bgColor rgb="FF99CC00"/>
        </patternFill>
      </fill>
    </dxf>
    <dxf>
      <font>
        <color rgb="FF99CC00"/>
      </font>
      <fill>
        <patternFill>
          <bgColor rgb="FF99CC00"/>
        </patternFill>
      </fill>
    </dxf>
    <dxf>
      <font>
        <color rgb="FF99CC00"/>
      </font>
      <fill>
        <patternFill patternType="solid">
          <bgColor rgb="FF99CC00"/>
        </patternFill>
      </fill>
    </dxf>
    <dxf>
      <font>
        <color theme="0"/>
      </font>
      <fill>
        <patternFill patternType="none">
          <bgColor auto="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4EE257"/>
      <rgbColor rgb="000000D4"/>
      <rgbColor rgb="00FFFF00"/>
      <rgbColor rgb="00F20884"/>
      <rgbColor rgb="0000FFFF"/>
      <rgbColor rgb="00CC0000"/>
      <rgbColor rgb="00008000"/>
      <rgbColor rgb="00000080"/>
      <rgbColor rgb="00979700"/>
      <rgbColor rgb="00800080"/>
      <rgbColor rgb="00008080"/>
      <rgbColor rgb="00C0C0C0"/>
      <rgbColor rgb="00808080"/>
      <rgbColor rgb="00A6A6A6"/>
      <rgbColor rgb="0090713A"/>
      <rgbColor rgb="00FFFFCC"/>
      <rgbColor rgb="00E6E6E6"/>
      <rgbColor rgb="00660066"/>
      <rgbColor rgb="00EB613D"/>
      <rgbColor rgb="000066CC"/>
      <rgbColor rgb="00DDDDDD"/>
      <rgbColor rgb="00000080"/>
      <rgbColor rgb="00FF00FF"/>
      <rgbColor rgb="00FCF305"/>
      <rgbColor rgb="0000FFFF"/>
      <rgbColor rgb="00800080"/>
      <rgbColor rgb="00800000"/>
      <rgbColor rgb="00008080"/>
      <rgbColor rgb="000000FF"/>
      <rgbColor rgb="0000CCFF"/>
      <rgbColor rgb="00CCFFFF"/>
      <rgbColor rgb="00CCFFCC"/>
      <rgbColor rgb="00FFCCCC"/>
      <rgbColor rgb="00A2BD90"/>
      <rgbColor rgb="00FF99CC"/>
      <rgbColor rgb="00CC99FF"/>
      <rgbColor rgb="00FFCC99"/>
      <rgbColor rgb="003366FF"/>
      <rgbColor rgb="0033CC66"/>
      <rgbColor rgb="0099CC00"/>
      <rgbColor rgb="00CCCC00"/>
      <rgbColor rgb="00FF9900"/>
      <rgbColor rgb="00FF6600"/>
      <rgbColor rgb="00666699"/>
      <rgbColor rgb="00969696"/>
      <rgbColor rgb="00003366"/>
      <rgbColor rgb="00669999"/>
      <rgbColor rgb="00006600"/>
      <rgbColor rgb="00333300"/>
      <rgbColor rgb="00DD0806"/>
      <rgbColor rgb="00993366"/>
      <rgbColor rgb="00404040"/>
      <rgbColor rgb="00333333"/>
    </indexedColors>
    <mruColors>
      <color rgb="FF99CC00"/>
      <color rgb="FF33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8851383395949407"/>
          <c:y val="0.33861973135710977"/>
          <c:w val="0.22133711877564599"/>
          <c:h val="0.3209749884205651"/>
        </c:manualLayout>
      </c:layout>
      <c:radarChart>
        <c:radarStyle val="filled"/>
        <c:varyColors val="0"/>
        <c:ser>
          <c:idx val="0"/>
          <c:order val="0"/>
          <c:spPr>
            <a:solidFill>
              <a:srgbClr val="669999"/>
            </a:solidFill>
            <a:ln w="38100">
              <a:solidFill>
                <a:srgbClr val="666699"/>
              </a:solidFill>
              <a:prstDash val="solid"/>
            </a:ln>
          </c:spPr>
          <c:cat>
            <c:strRef>
              <c:f>'5. Values'!$B$18:$B$21</c:f>
              <c:strCache>
                <c:ptCount val="4"/>
                <c:pt idx="0">
                  <c:v>Human dignity</c:v>
                </c:pt>
                <c:pt idx="1">
                  <c:v>Solidarity &amp; social justice</c:v>
                </c:pt>
                <c:pt idx="2">
                  <c:v>Environmental sustainability</c:v>
                </c:pt>
                <c:pt idx="3">
                  <c:v>Transparency &amp; co-determination</c:v>
                </c:pt>
              </c:strCache>
            </c:strRef>
          </c:cat>
          <c:val>
            <c:numRef>
              <c:f>'5. Values'!$G$18:$G$21</c:f>
              <c:numCache>
                <c:formatCode>0\ %</c:formatCode>
                <c:ptCount val="4"/>
                <c:pt idx="0">
                  <c:v>0</c:v>
                </c:pt>
                <c:pt idx="1">
                  <c:v>0</c:v>
                </c:pt>
                <c:pt idx="2">
                  <c:v>0</c:v>
                </c:pt>
                <c:pt idx="3">
                  <c:v>0</c:v>
                </c:pt>
              </c:numCache>
            </c:numRef>
          </c:val>
          <c:extLst>
            <c:ext xmlns:c16="http://schemas.microsoft.com/office/drawing/2014/chart" uri="{C3380CC4-5D6E-409C-BE32-E72D297353CC}">
              <c16:uniqueId val="{00000000-FE96-4AB8-9E25-98924EDABE32}"/>
            </c:ext>
          </c:extLst>
        </c:ser>
        <c:dLbls>
          <c:showLegendKey val="0"/>
          <c:showVal val="0"/>
          <c:showCatName val="0"/>
          <c:showSerName val="0"/>
          <c:showPercent val="0"/>
          <c:showBubbleSize val="0"/>
        </c:dLbls>
        <c:axId val="458780312"/>
        <c:axId val="1"/>
      </c:radarChart>
      <c:catAx>
        <c:axId val="458780312"/>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extTo"/>
        <c:txPr>
          <a:bodyPr rot="0" vert="horz"/>
          <a:lstStyle/>
          <a:p>
            <a:pPr>
              <a:defRPr sz="1100" b="1" i="0" u="none" strike="noStrike" baseline="0">
                <a:solidFill>
                  <a:srgbClr val="99CC00"/>
                </a:solidFill>
                <a:latin typeface="Arial"/>
                <a:ea typeface="Arial"/>
                <a:cs typeface="Arial"/>
              </a:defRPr>
            </a:pPr>
            <a:endParaRPr lang="es-ES"/>
          </a:p>
        </c:txPr>
        <c:crossAx val="1"/>
        <c:crossesAt val="0"/>
        <c:auto val="0"/>
        <c:lblAlgn val="ctr"/>
        <c:lblOffset val="100"/>
        <c:noMultiLvlLbl val="0"/>
      </c:catAx>
      <c:valAx>
        <c:axId val="1"/>
        <c:scaling>
          <c:orientation val="minMax"/>
          <c:max val="1"/>
          <c:min val="0"/>
        </c:scaling>
        <c:delete val="0"/>
        <c:axPos val="l"/>
        <c:majorGridlines>
          <c:spPr>
            <a:ln w="3175">
              <a:solidFill>
                <a:srgbClr val="A2BD90"/>
              </a:solidFill>
              <a:prstDash val="solid"/>
            </a:ln>
          </c:spPr>
        </c:majorGridlines>
        <c:numFmt formatCode="0\ %" sourceLinked="1"/>
        <c:majorTickMark val="cross"/>
        <c:minorTickMark val="none"/>
        <c:tickLblPos val="none"/>
        <c:spPr>
          <a:ln w="3175">
            <a:solidFill>
              <a:srgbClr val="808080"/>
            </a:solidFill>
            <a:prstDash val="solid"/>
          </a:ln>
        </c:spPr>
        <c:crossAx val="458780312"/>
        <c:crosses val="autoZero"/>
        <c:crossBetween val="midCat"/>
        <c:majorUnit val="0.2"/>
        <c:minorUnit val="0.04"/>
      </c:valAx>
      <c:spPr>
        <a:noFill/>
        <a:ln w="25400">
          <a:noFill/>
        </a:ln>
      </c:spPr>
    </c:plotArea>
    <c:plotVisOnly val="1"/>
    <c:dispBlanksAs val="gap"/>
    <c:showDLblsOverMax val="0"/>
  </c:chart>
  <c:spPr>
    <a:noFill/>
    <a:ln w="6350">
      <a:noFill/>
    </a:ln>
  </c:spPr>
  <c:txPr>
    <a:bodyPr/>
    <a:lstStyle/>
    <a:p>
      <a:pPr>
        <a:defRPr sz="1100" b="0" i="0" u="none" strike="noStrike" baseline="0">
          <a:solidFill>
            <a:srgbClr val="000000"/>
          </a:solidFill>
          <a:latin typeface="Calibri"/>
          <a:ea typeface="Calibri"/>
          <a:cs typeface="Calibri"/>
        </a:defRPr>
      </a:pPr>
      <a:endParaRPr lang="es-ES"/>
    </a:p>
  </c:txPr>
  <c:printSettings>
    <c:headerFooter alignWithMargins="0"/>
    <c:pageMargins b="0.984251969" l="0.78740157499999996" r="0.78740157499999996" t="0.984251969"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14308695284049"/>
          <c:y val="0.37536971277283154"/>
          <c:w val="0.23138819744306155"/>
          <c:h val="0.31255050635010495"/>
        </c:manualLayout>
      </c:layout>
      <c:radarChart>
        <c:radarStyle val="filled"/>
        <c:varyColors val="0"/>
        <c:ser>
          <c:idx val="0"/>
          <c:order val="0"/>
          <c:spPr>
            <a:solidFill>
              <a:srgbClr val="669999"/>
            </a:solidFill>
            <a:ln w="38100">
              <a:solidFill>
                <a:srgbClr val="666699"/>
              </a:solidFill>
              <a:prstDash val="solid"/>
            </a:ln>
          </c:spPr>
          <c:cat>
            <c:strRef>
              <c:f>'6. Stakeholder'!$B$18:$B$22</c:f>
              <c:strCache>
                <c:ptCount val="5"/>
                <c:pt idx="0">
                  <c:v>Suppliers</c:v>
                </c:pt>
                <c:pt idx="1">
                  <c:v>Owners, equity- and financial service providers</c:v>
                </c:pt>
                <c:pt idx="2">
                  <c:v>Employees</c:v>
                </c:pt>
                <c:pt idx="3">
                  <c:v>Customers and other companies</c:v>
                </c:pt>
                <c:pt idx="4">
                  <c:v>Social environment</c:v>
                </c:pt>
              </c:strCache>
            </c:strRef>
          </c:cat>
          <c:val>
            <c:numRef>
              <c:f>'6. Stakeholder'!$G$18:$G$22</c:f>
              <c:numCache>
                <c:formatCode>0\ %</c:formatCode>
                <c:ptCount val="5"/>
                <c:pt idx="0">
                  <c:v>0</c:v>
                </c:pt>
                <c:pt idx="1">
                  <c:v>0</c:v>
                </c:pt>
                <c:pt idx="2">
                  <c:v>0</c:v>
                </c:pt>
                <c:pt idx="3">
                  <c:v>0</c:v>
                </c:pt>
                <c:pt idx="4">
                  <c:v>0</c:v>
                </c:pt>
              </c:numCache>
            </c:numRef>
          </c:val>
          <c:extLst>
            <c:ext xmlns:c16="http://schemas.microsoft.com/office/drawing/2014/chart" uri="{C3380CC4-5D6E-409C-BE32-E72D297353CC}">
              <c16:uniqueId val="{00000000-6F2B-446B-BA7C-3D4A23E8319A}"/>
            </c:ext>
          </c:extLst>
        </c:ser>
        <c:dLbls>
          <c:showLegendKey val="0"/>
          <c:showVal val="0"/>
          <c:showCatName val="0"/>
          <c:showSerName val="0"/>
          <c:showPercent val="0"/>
          <c:showBubbleSize val="0"/>
        </c:dLbls>
        <c:axId val="458784248"/>
        <c:axId val="1"/>
      </c:radarChart>
      <c:catAx>
        <c:axId val="458784248"/>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extTo"/>
        <c:txPr>
          <a:bodyPr rot="0" vert="horz"/>
          <a:lstStyle/>
          <a:p>
            <a:pPr>
              <a:defRPr sz="1100" b="1" i="0" u="none" strike="noStrike" baseline="0">
                <a:solidFill>
                  <a:srgbClr val="99CC00"/>
                </a:solidFill>
                <a:latin typeface="Arial"/>
                <a:ea typeface="Arial"/>
                <a:cs typeface="Arial"/>
              </a:defRPr>
            </a:pPr>
            <a:endParaRPr lang="es-ES"/>
          </a:p>
        </c:txPr>
        <c:crossAx val="1"/>
        <c:crossesAt val="0"/>
        <c:auto val="0"/>
        <c:lblAlgn val="ctr"/>
        <c:lblOffset val="100"/>
        <c:noMultiLvlLbl val="0"/>
      </c:catAx>
      <c:valAx>
        <c:axId val="1"/>
        <c:scaling>
          <c:orientation val="minMax"/>
          <c:max val="1"/>
          <c:min val="0"/>
        </c:scaling>
        <c:delete val="0"/>
        <c:axPos val="l"/>
        <c:majorGridlines>
          <c:spPr>
            <a:ln w="3175">
              <a:solidFill>
                <a:srgbClr val="A2BD90"/>
              </a:solidFill>
              <a:prstDash val="solid"/>
            </a:ln>
          </c:spPr>
        </c:majorGridlines>
        <c:numFmt formatCode="0\ %" sourceLinked="1"/>
        <c:majorTickMark val="cross"/>
        <c:minorTickMark val="none"/>
        <c:tickLblPos val="none"/>
        <c:spPr>
          <a:ln w="3175">
            <a:solidFill>
              <a:srgbClr val="808080"/>
            </a:solidFill>
            <a:prstDash val="solid"/>
          </a:ln>
        </c:spPr>
        <c:crossAx val="458784248"/>
        <c:crosses val="autoZero"/>
        <c:crossBetween val="midCat"/>
        <c:majorUnit val="0.2"/>
        <c:minorUnit val="0.04"/>
      </c:valAx>
      <c:spPr>
        <a:noFill/>
        <a:ln w="25400">
          <a:noFill/>
        </a:ln>
      </c:spPr>
    </c:plotArea>
    <c:plotVisOnly val="1"/>
    <c:dispBlanksAs val="gap"/>
    <c:showDLblsOverMax val="0"/>
  </c:chart>
  <c:spPr>
    <a:noFill/>
    <a:ln w="6350">
      <a:noFill/>
    </a:ln>
  </c:spPr>
  <c:txPr>
    <a:bodyPr/>
    <a:lstStyle/>
    <a:p>
      <a:pPr>
        <a:defRPr sz="1100" b="0" i="0" u="none" strike="noStrike" baseline="0">
          <a:solidFill>
            <a:srgbClr val="000000"/>
          </a:solidFill>
          <a:latin typeface="Calibri"/>
          <a:ea typeface="Calibri"/>
          <a:cs typeface="Calibri"/>
        </a:defRPr>
      </a:pPr>
      <a:endParaRPr lang="es-ES"/>
    </a:p>
  </c:txPr>
  <c:printSettings>
    <c:headerFooter alignWithMargins="0"/>
    <c:pageMargins b="0.984251969" l="0.78740157499999996" r="0.78740157499999996" t="0.984251969"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05564064217373"/>
          <c:y val="0.23730376022051899"/>
          <c:w val="0.40358492945818841"/>
          <c:h val="0.52102397096965536"/>
        </c:manualLayout>
      </c:layout>
      <c:radarChart>
        <c:radarStyle val="filled"/>
        <c:varyColors val="0"/>
        <c:ser>
          <c:idx val="0"/>
          <c:order val="0"/>
          <c:spPr>
            <a:solidFill>
              <a:srgbClr val="669999"/>
            </a:solidFill>
            <a:ln w="38100">
              <a:solidFill>
                <a:srgbClr val="666699"/>
              </a:solidFill>
              <a:prstDash val="solid"/>
            </a:ln>
          </c:spPr>
          <c:cat>
            <c:strRef>
              <c:f>'7. Topics'!$B$18:$B$37</c:f>
              <c:strCache>
                <c:ptCount val="20"/>
                <c:pt idx="0">
                  <c:v>A1</c:v>
                </c:pt>
                <c:pt idx="1">
                  <c:v>A2</c:v>
                </c:pt>
                <c:pt idx="2">
                  <c:v>A3</c:v>
                </c:pt>
                <c:pt idx="3">
                  <c:v>A4</c:v>
                </c:pt>
                <c:pt idx="4">
                  <c:v>B1</c:v>
                </c:pt>
                <c:pt idx="5">
                  <c:v>B2</c:v>
                </c:pt>
                <c:pt idx="6">
                  <c:v>B3</c:v>
                </c:pt>
                <c:pt idx="7">
                  <c:v>B4</c:v>
                </c:pt>
                <c:pt idx="8">
                  <c:v>C1</c:v>
                </c:pt>
                <c:pt idx="9">
                  <c:v>C2</c:v>
                </c:pt>
                <c:pt idx="10">
                  <c:v>C3</c:v>
                </c:pt>
                <c:pt idx="11">
                  <c:v>C4</c:v>
                </c:pt>
                <c:pt idx="12">
                  <c:v>D1</c:v>
                </c:pt>
                <c:pt idx="13">
                  <c:v>D2</c:v>
                </c:pt>
                <c:pt idx="14">
                  <c:v>D3</c:v>
                </c:pt>
                <c:pt idx="15">
                  <c:v>D4</c:v>
                </c:pt>
                <c:pt idx="16">
                  <c:v>E1</c:v>
                </c:pt>
                <c:pt idx="17">
                  <c:v>E2</c:v>
                </c:pt>
                <c:pt idx="18">
                  <c:v>E3</c:v>
                </c:pt>
                <c:pt idx="19">
                  <c:v>E4</c:v>
                </c:pt>
              </c:strCache>
            </c:strRef>
          </c:cat>
          <c:val>
            <c:numRef>
              <c:f>'7. Topics'!$G$18:$G$37</c:f>
              <c:numCache>
                <c:formatCode>0\ %</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64E5-4FBF-B775-D806AEE7E715}"/>
            </c:ext>
          </c:extLst>
        </c:ser>
        <c:dLbls>
          <c:showLegendKey val="0"/>
          <c:showVal val="0"/>
          <c:showCatName val="0"/>
          <c:showSerName val="0"/>
          <c:showPercent val="0"/>
          <c:showBubbleSize val="0"/>
        </c:dLbls>
        <c:axId val="458783592"/>
        <c:axId val="1"/>
      </c:radarChart>
      <c:catAx>
        <c:axId val="458783592"/>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extTo"/>
        <c:txPr>
          <a:bodyPr rot="0" vert="horz"/>
          <a:lstStyle/>
          <a:p>
            <a:pPr>
              <a:defRPr sz="1100" b="1" i="0" u="none" strike="noStrike" baseline="0">
                <a:solidFill>
                  <a:srgbClr val="99CC00"/>
                </a:solidFill>
                <a:latin typeface="Arial"/>
                <a:ea typeface="Arial"/>
                <a:cs typeface="Arial"/>
              </a:defRPr>
            </a:pPr>
            <a:endParaRPr lang="es-ES"/>
          </a:p>
        </c:txPr>
        <c:crossAx val="1"/>
        <c:crossesAt val="0"/>
        <c:auto val="0"/>
        <c:lblAlgn val="ctr"/>
        <c:lblOffset val="100"/>
        <c:noMultiLvlLbl val="0"/>
      </c:catAx>
      <c:valAx>
        <c:axId val="1"/>
        <c:scaling>
          <c:orientation val="minMax"/>
          <c:max val="1"/>
          <c:min val="0"/>
        </c:scaling>
        <c:delete val="0"/>
        <c:axPos val="l"/>
        <c:majorGridlines>
          <c:spPr>
            <a:ln w="3175">
              <a:solidFill>
                <a:srgbClr val="A2BD90"/>
              </a:solidFill>
              <a:prstDash val="solid"/>
            </a:ln>
          </c:spPr>
        </c:majorGridlines>
        <c:numFmt formatCode="0\ %" sourceLinked="1"/>
        <c:majorTickMark val="cross"/>
        <c:minorTickMark val="none"/>
        <c:tickLblPos val="none"/>
        <c:spPr>
          <a:ln w="3175">
            <a:solidFill>
              <a:srgbClr val="808080"/>
            </a:solidFill>
            <a:prstDash val="solid"/>
          </a:ln>
        </c:spPr>
        <c:crossAx val="458783592"/>
        <c:crosses val="autoZero"/>
        <c:crossBetween val="midCat"/>
        <c:majorUnit val="0.2"/>
        <c:minorUnit val="0.04"/>
      </c:valAx>
      <c:spPr>
        <a:noFill/>
        <a:ln w="25400">
          <a:noFill/>
        </a:ln>
      </c:spPr>
    </c:plotArea>
    <c:plotVisOnly val="1"/>
    <c:dispBlanksAs val="gap"/>
    <c:showDLblsOverMax val="0"/>
  </c:chart>
  <c:spPr>
    <a:noFill/>
    <a:ln w="6350">
      <a:noFill/>
    </a:ln>
  </c:spPr>
  <c:txPr>
    <a:bodyPr/>
    <a:lstStyle/>
    <a:p>
      <a:pPr>
        <a:defRPr sz="1100" b="0" i="0" u="none" strike="noStrike" baseline="0">
          <a:solidFill>
            <a:srgbClr val="000000"/>
          </a:solidFill>
          <a:latin typeface="Calibri"/>
          <a:ea typeface="Calibri"/>
          <a:cs typeface="Calibri"/>
        </a:defRPr>
      </a:pPr>
      <a:endParaRPr lang="es-ES"/>
    </a:p>
  </c:txPr>
  <c:printSettings>
    <c:headerFooter alignWithMargins="0"/>
    <c:pageMargins b="0.984251969" l="0.78740157499999996" r="0.78740157499999996" t="0.984251969"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3</xdr:col>
      <xdr:colOff>1409700</xdr:colOff>
      <xdr:row>0</xdr:row>
      <xdr:rowOff>0</xdr:rowOff>
    </xdr:from>
    <xdr:to>
      <xdr:col>3</xdr:col>
      <xdr:colOff>4429125</xdr:colOff>
      <xdr:row>2</xdr:row>
      <xdr:rowOff>28575</xdr:rowOff>
    </xdr:to>
    <xdr:pic>
      <xdr:nvPicPr>
        <xdr:cNvPr id="1076" name="Picture 44" descr="ECG_EN-screen.png">
          <a:extLst>
            <a:ext uri="{FF2B5EF4-FFF2-40B4-BE49-F238E27FC236}">
              <a16:creationId xmlns:a16="http://schemas.microsoft.com/office/drawing/2014/main" id="{3B6EBDDC-2899-49C1-903B-2934BCC2E2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14725" y="0"/>
          <a:ext cx="30194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9525</xdr:colOff>
      <xdr:row>1</xdr:row>
      <xdr:rowOff>66675</xdr:rowOff>
    </xdr:from>
    <xdr:to>
      <xdr:col>18</xdr:col>
      <xdr:colOff>9525</xdr:colOff>
      <xdr:row>5</xdr:row>
      <xdr:rowOff>57150</xdr:rowOff>
    </xdr:to>
    <xdr:pic>
      <xdr:nvPicPr>
        <xdr:cNvPr id="6189" name="Picture 44" descr="ECG_EN-screen.png">
          <a:extLst>
            <a:ext uri="{FF2B5EF4-FFF2-40B4-BE49-F238E27FC236}">
              <a16:creationId xmlns:a16="http://schemas.microsoft.com/office/drawing/2014/main" id="{88B9908D-23DB-4459-AABC-5E74A363CA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48625" y="228600"/>
          <a:ext cx="18669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4</xdr:row>
      <xdr:rowOff>76200</xdr:rowOff>
    </xdr:from>
    <xdr:to>
      <xdr:col>5</xdr:col>
      <xdr:colOff>857250</xdr:colOff>
      <xdr:row>15</xdr:row>
      <xdr:rowOff>762000</xdr:rowOff>
    </xdr:to>
    <xdr:graphicFrame macro="">
      <xdr:nvGraphicFramePr>
        <xdr:cNvPr id="7257" name="Diagramm 1">
          <a:extLst>
            <a:ext uri="{FF2B5EF4-FFF2-40B4-BE49-F238E27FC236}">
              <a16:creationId xmlns:a16="http://schemas.microsoft.com/office/drawing/2014/main" id="{32BC307D-6986-4055-B611-6424AD698D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xdr:row>
      <xdr:rowOff>38100</xdr:rowOff>
    </xdr:from>
    <xdr:to>
      <xdr:col>1</xdr:col>
      <xdr:colOff>504825</xdr:colOff>
      <xdr:row>3</xdr:row>
      <xdr:rowOff>142875</xdr:rowOff>
    </xdr:to>
    <xdr:pic>
      <xdr:nvPicPr>
        <xdr:cNvPr id="7258" name="Grafik 3">
          <a:extLst>
            <a:ext uri="{FF2B5EF4-FFF2-40B4-BE49-F238E27FC236}">
              <a16:creationId xmlns:a16="http://schemas.microsoft.com/office/drawing/2014/main" id="{B45DD9B5-83C2-44E5-B42F-8A0B84A5F86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209550"/>
          <a:ext cx="5048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152400</xdr:colOff>
      <xdr:row>3</xdr:row>
      <xdr:rowOff>85724</xdr:rowOff>
    </xdr:from>
    <xdr:to>
      <xdr:col>5</xdr:col>
      <xdr:colOff>977900</xdr:colOff>
      <xdr:row>15</xdr:row>
      <xdr:rowOff>1066799</xdr:rowOff>
    </xdr:to>
    <xdr:graphicFrame macro="">
      <xdr:nvGraphicFramePr>
        <xdr:cNvPr id="8281" name="Diagramm 1">
          <a:extLst>
            <a:ext uri="{FF2B5EF4-FFF2-40B4-BE49-F238E27FC236}">
              <a16:creationId xmlns:a16="http://schemas.microsoft.com/office/drawing/2014/main" id="{F2C3D0E8-CDD8-434A-A274-91F28E0116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0</xdr:row>
      <xdr:rowOff>123825</xdr:rowOff>
    </xdr:from>
    <xdr:to>
      <xdr:col>1</xdr:col>
      <xdr:colOff>438150</xdr:colOff>
      <xdr:row>3</xdr:row>
      <xdr:rowOff>47625</xdr:rowOff>
    </xdr:to>
    <xdr:pic>
      <xdr:nvPicPr>
        <xdr:cNvPr id="8282" name="Grafik 3">
          <a:extLst>
            <a:ext uri="{FF2B5EF4-FFF2-40B4-BE49-F238E27FC236}">
              <a16:creationId xmlns:a16="http://schemas.microsoft.com/office/drawing/2014/main" id="{5A54532D-EF20-4572-990F-49F12801F5E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123825"/>
          <a:ext cx="4762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133350</xdr:colOff>
      <xdr:row>0</xdr:row>
      <xdr:rowOff>123825</xdr:rowOff>
    </xdr:from>
    <xdr:to>
      <xdr:col>1</xdr:col>
      <xdr:colOff>457200</xdr:colOff>
      <xdr:row>3</xdr:row>
      <xdr:rowOff>47625</xdr:rowOff>
    </xdr:to>
    <xdr:pic>
      <xdr:nvPicPr>
        <xdr:cNvPr id="9305" name="Grafik 3">
          <a:extLst>
            <a:ext uri="{FF2B5EF4-FFF2-40B4-BE49-F238E27FC236}">
              <a16:creationId xmlns:a16="http://schemas.microsoft.com/office/drawing/2014/main" id="{6E8BD266-6384-493B-85CA-F60FC4373D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23825"/>
          <a:ext cx="5048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38100</xdr:colOff>
      <xdr:row>3</xdr:row>
      <xdr:rowOff>95250</xdr:rowOff>
    </xdr:from>
    <xdr:to>
      <xdr:col>5</xdr:col>
      <xdr:colOff>977900</xdr:colOff>
      <xdr:row>15</xdr:row>
      <xdr:rowOff>1003300</xdr:rowOff>
    </xdr:to>
    <xdr:graphicFrame macro="">
      <xdr:nvGraphicFramePr>
        <xdr:cNvPr id="9306" name="Diagramm 2">
          <a:extLst>
            <a:ext uri="{FF2B5EF4-FFF2-40B4-BE49-F238E27FC236}">
              <a16:creationId xmlns:a16="http://schemas.microsoft.com/office/drawing/2014/main" id="{9DCB01A9-78E4-484D-80CC-9E060F14C6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5667375</xdr:colOff>
      <xdr:row>0</xdr:row>
      <xdr:rowOff>152400</xdr:rowOff>
    </xdr:from>
    <xdr:to>
      <xdr:col>2</xdr:col>
      <xdr:colOff>5676900</xdr:colOff>
      <xdr:row>1</xdr:row>
      <xdr:rowOff>152400</xdr:rowOff>
    </xdr:to>
    <xdr:pic>
      <xdr:nvPicPr>
        <xdr:cNvPr id="10285" name="Grafik 3">
          <a:extLst>
            <a:ext uri="{FF2B5EF4-FFF2-40B4-BE49-F238E27FC236}">
              <a16:creationId xmlns:a16="http://schemas.microsoft.com/office/drawing/2014/main" id="{8490B4D7-3507-425D-A341-57203B19E4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72425" y="152400"/>
          <a:ext cx="95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hyperlink" Target="http://data.worldbank.org/indicator/NY.GDP.MKTP.PP.CD"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8" Type="http://schemas.openxmlformats.org/officeDocument/2006/relationships/hyperlink" Target="mailto:christian.loy@gmx.at" TargetMode="External"/><Relationship Id="rId3" Type="http://schemas.openxmlformats.org/officeDocument/2006/relationships/hyperlink" Target="mailto:audit@febc.eu" TargetMode="External"/><Relationship Id="rId7" Type="http://schemas.openxmlformats.org/officeDocument/2006/relationships/hyperlink" Target="mailto:christian.loy@gmx.at" TargetMode="External"/><Relationship Id="rId2" Type="http://schemas.openxmlformats.org/officeDocument/2006/relationships/hyperlink" Target="mailto:nodo-empresas@economia-del-bien-comun.es" TargetMode="External"/><Relationship Id="rId1" Type="http://schemas.openxmlformats.org/officeDocument/2006/relationships/hyperlink" Target="mailto:info@economia-del-ben-comune.it" TargetMode="External"/><Relationship Id="rId6" Type="http://schemas.openxmlformats.org/officeDocument/2006/relationships/hyperlink" Target="mailto:bilanz@ecogood.org" TargetMode="External"/><Relationship Id="rId5" Type="http://schemas.openxmlformats.org/officeDocument/2006/relationships/hyperlink" Target="mailto:bilanz@ecogood.org" TargetMode="External"/><Relationship Id="rId10" Type="http://schemas.openxmlformats.org/officeDocument/2006/relationships/printerSettings" Target="../printerSettings/printerSettings5.bin"/><Relationship Id="rId4" Type="http://schemas.openxmlformats.org/officeDocument/2006/relationships/hyperlink" Target="mailto:nodo-empresas@economia-del-bien-comun.es" TargetMode="External"/><Relationship Id="rId9" Type="http://schemas.openxmlformats.org/officeDocument/2006/relationships/hyperlink" Target="mailto:christian.loy@gmx.a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M41"/>
  <sheetViews>
    <sheetView showGridLines="0" tabSelected="1" zoomScale="75" zoomScaleNormal="75" workbookViewId="0">
      <selection activeCell="B1" sqref="B1:C1"/>
    </sheetView>
  </sheetViews>
  <sheetFormatPr baseColWidth="10" defaultColWidth="10.7109375" defaultRowHeight="12.75" customHeight="1"/>
  <cols>
    <col min="1" max="1" width="2.7109375" style="1" customWidth="1"/>
    <col min="2" max="2" width="11" style="1" customWidth="1"/>
    <col min="3" max="3" width="17.85546875" style="1" customWidth="1"/>
    <col min="4" max="4" width="66.85546875" style="1" customWidth="1"/>
    <col min="5" max="12" width="10.7109375" style="1"/>
    <col min="13" max="13" width="0" style="1" hidden="1" customWidth="1"/>
    <col min="14" max="16384" width="10.7109375" style="1"/>
  </cols>
  <sheetData>
    <row r="1" spans="1:13" ht="29.25" customHeight="1">
      <c r="A1" s="2"/>
      <c r="B1" s="549" t="s">
        <v>3188</v>
      </c>
      <c r="C1" s="550"/>
      <c r="D1"/>
    </row>
    <row r="2" spans="1:13" ht="41.25" customHeight="1">
      <c r="A2" s="2"/>
      <c r="B2" s="551" t="str">
        <f>'12.lan'!D4</f>
        <v>BALANCE SHEET CALCULATOR</v>
      </c>
      <c r="C2" s="551"/>
      <c r="D2" s="551"/>
      <c r="M2" s="1" t="str">
        <f>IF('12.lan'!B2="","",'12.lan'!B2)</f>
        <v>Select your language</v>
      </c>
    </row>
    <row r="3" spans="1:13" ht="12.75" customHeight="1">
      <c r="A3" s="2"/>
      <c r="B3" s="3" t="str">
        <f>'12.lan'!D6</f>
        <v>Version</v>
      </c>
      <c r="C3" s="4" t="s">
        <v>0</v>
      </c>
      <c r="M3" s="1" t="str">
        <f>IF('12.lan'!B3="","",'12.lan'!B3)</f>
        <v>Deutsch</v>
      </c>
    </row>
    <row r="4" spans="1:13" ht="14.25" customHeight="1">
      <c r="A4" s="2"/>
      <c r="B4" s="2"/>
      <c r="C4" s="2"/>
      <c r="D4" s="2"/>
      <c r="M4" s="1" t="str">
        <f>IF('12.lan'!B4="","",'12.lan'!B4)</f>
        <v>Italiano</v>
      </c>
    </row>
    <row r="5" spans="1:13" ht="18.75" customHeight="1">
      <c r="A5" s="2"/>
      <c r="B5" s="536" t="str">
        <f>'12.lan'!D7</f>
        <v>WELCOME!</v>
      </c>
      <c r="C5" s="536"/>
      <c r="D5" s="536"/>
      <c r="M5" s="1" t="str">
        <f>IF('12.lan'!B5="","",'12.lan'!B5)</f>
        <v>English</v>
      </c>
    </row>
    <row r="6" spans="1:13" ht="47.25" customHeight="1">
      <c r="A6" s="2"/>
      <c r="B6" s="552" t="str">
        <f>'12.lan'!D8</f>
        <v>This tool is for calculating the overall Common Good Points for your company or organisation. It complements the Common Good Report and has to be used together with it. Have fun with your calculation!</v>
      </c>
      <c r="C6" s="552"/>
      <c r="D6" s="552"/>
      <c r="M6" s="1" t="str">
        <f>IF('12.lan'!B6="","",'12.lan'!B6)</f>
        <v>Español</v>
      </c>
    </row>
    <row r="7" spans="1:13" ht="24" customHeight="1">
      <c r="A7" s="2"/>
      <c r="B7" s="2"/>
      <c r="C7" s="2"/>
      <c r="D7" s="2"/>
      <c r="M7" s="1" t="str">
        <f>IF('12.lan'!B7="","",'12.lan'!B7)</f>
        <v>Francais</v>
      </c>
    </row>
    <row r="8" spans="1:13" ht="18.75" customHeight="1">
      <c r="A8" s="2"/>
      <c r="B8" s="536" t="str">
        <f>'12.lan'!D9</f>
        <v>HOW TO USE THE BALANCE SHEET CALCULATOR:</v>
      </c>
      <c r="C8" s="536"/>
      <c r="D8" s="536"/>
      <c r="M8" s="1" t="str">
        <f>IF('12.lan'!B8="","",'12.lan'!B8)</f>
        <v>Portugues</v>
      </c>
    </row>
    <row r="9" spans="1:13" ht="29.25" customHeight="1">
      <c r="A9" s="2"/>
      <c r="B9" s="548" t="str">
        <f>'12.lan'!D10</f>
        <v>1. General</v>
      </c>
      <c r="C9" s="548"/>
      <c r="D9" s="5" t="str">
        <f>'12.lan'!D11</f>
        <v>You can enter general information about your company or organisation in this section.</v>
      </c>
      <c r="M9" s="1" t="str">
        <f>IF('12.lan'!B9="","",'12.lan'!B9)</f>
        <v>Griechisch</v>
      </c>
    </row>
    <row r="10" spans="1:13" ht="37.5" customHeight="1">
      <c r="A10" s="2"/>
      <c r="B10" s="546" t="str">
        <f>'12.lan'!D28</f>
        <v>2. Company details</v>
      </c>
      <c r="C10" s="546"/>
      <c r="D10" s="5" t="str">
        <f>'12.lan'!D12</f>
        <v>All fields in this section must be completed as they are essential for the weighting of each theme.</v>
      </c>
      <c r="M10" s="1" t="str">
        <f>IF('12.lan'!B10="","",'12.lan'!B10)</f>
        <v/>
      </c>
    </row>
    <row r="11" spans="1:13" ht="48" customHeight="1">
      <c r="A11" s="2"/>
      <c r="B11" s="546" t="str">
        <f>'12.lan'!D29</f>
        <v>3. Scoring</v>
      </c>
      <c r="C11" s="546"/>
      <c r="D11" s="5" t="str">
        <f>'12.lan'!D13</f>
        <v>For each theme (A1, B1, ...) a certain maximum number of Common Good Points can be achieved. To evaluate how many points your company scores, follow these steps:</v>
      </c>
      <c r="M11" s="1" t="str">
        <f>IF('12.lan'!B11="","",'12.lan'!B11)</f>
        <v/>
      </c>
    </row>
    <row r="12" spans="1:13" ht="59.25" customHeight="1">
      <c r="A12" s="2"/>
      <c r="B12" s="547" t="s">
        <v>1</v>
      </c>
      <c r="C12" s="547"/>
      <c r="D12" s="5" t="str">
        <f>'12.lan'!D14</f>
        <v>Describe the current status and potential for improvement for the various aspects under key headings. Use the workbook as a reference. (This is optional and not absolutely necessary for the calculation.)</v>
      </c>
      <c r="M12" s="1" t="str">
        <f>IF('12.lan'!B12="","",'12.lan'!B12)</f>
        <v/>
      </c>
    </row>
    <row r="13" spans="1:13" ht="61.5" customHeight="1">
      <c r="A13" s="2"/>
      <c r="B13" s="547" t="s">
        <v>2</v>
      </c>
      <c r="C13" s="547"/>
      <c r="D13" s="5" t="str">
        <f>'12.lan'!D15</f>
        <v>Based on these descriptions, indicate on a scale of 0-10 how far you consider the respective aspect is met (Achievement level). The criteria for choosing the correct value can be found in the Workbook.</v>
      </c>
    </row>
    <row r="14" spans="1:13" ht="33" customHeight="1">
      <c r="A14" s="2"/>
      <c r="B14" s="547" t="s">
        <v>3</v>
      </c>
      <c r="C14" s="547"/>
      <c r="D14" s="5" t="str">
        <f>'12.lan'!D16</f>
        <v>Negative aspects are allocated negative points according to the descriptions set out in the Workbook.</v>
      </c>
    </row>
    <row r="15" spans="1:13" ht="100.5" customHeight="1">
      <c r="A15" s="2"/>
      <c r="B15" s="547" t="s">
        <v>4</v>
      </c>
      <c r="C15" s="547"/>
      <c r="D15" s="6" t="str">
        <f>'12.lan'!D17</f>
        <v>Where deemed necessary for your company and in agreement with the auditors you can change the relative weightings of individual aspects (A1.1, A1.2, ..). In the column Weighting, you can select values for each aspect. The distribution of available points for individual aspects will then be adjusted automatically, so that the total of all aspects of an indicator result in 100%.</v>
      </c>
    </row>
    <row r="16" spans="1:13" ht="48" customHeight="1">
      <c r="A16" s="2"/>
      <c r="B16" s="547" t="s">
        <v>5</v>
      </c>
      <c r="C16" s="547"/>
      <c r="D16" s="5" t="str">
        <f>'12.lan'!D18</f>
        <v>The calculation automatically weights each theme’s total value against the data in the ‘Company details’ section and rounds it to a whole-number multiple of 10%.</v>
      </c>
    </row>
    <row r="17" spans="1:4" ht="18.75" customHeight="1">
      <c r="A17" s="2"/>
      <c r="B17" s="546" t="str">
        <f>'12.lan'!D30</f>
        <v>4. ECG Matrix</v>
      </c>
      <c r="C17" s="546"/>
      <c r="D17" s="5" t="str">
        <f>'12.lan'!D19</f>
        <v>The ECG-Matrix displays your result in a table.</v>
      </c>
    </row>
    <row r="18" spans="1:4" ht="32.25" customHeight="1">
      <c r="A18" s="2"/>
      <c r="B18" s="546" t="str">
        <f>'12.lan'!D31</f>
        <v>5. Values star</v>
      </c>
      <c r="C18" s="546"/>
      <c r="D18" s="5" t="str">
        <f>'12.lan'!D21</f>
        <v>The values-star displays your result arranged by value as a graphic.</v>
      </c>
    </row>
    <row r="19" spans="1:4" ht="32.25" customHeight="1">
      <c r="A19" s="2"/>
      <c r="B19" s="546" t="str">
        <f>'12.lan'!D32</f>
        <v>6. Group star</v>
      </c>
      <c r="C19" s="546"/>
      <c r="D19" s="5" t="str">
        <f>'12.lan'!D22</f>
        <v>The group-star displays your result arranged by stakeholder as a graphic.</v>
      </c>
    </row>
    <row r="20" spans="1:4" ht="28.5" customHeight="1">
      <c r="A20" s="2"/>
      <c r="B20" s="546" t="str">
        <f>'12.lan'!D33</f>
        <v>7. Theme star</v>
      </c>
      <c r="C20" s="546"/>
      <c r="D20" s="6" t="str">
        <f>'12.lan'!D23</f>
        <v>The theme-star displays the result of your themes as a graphic.</v>
      </c>
    </row>
    <row r="21" spans="1:4" ht="30" customHeight="1">
      <c r="A21" s="2"/>
      <c r="B21" s="542" t="str">
        <f>'12.lan'!D34</f>
        <v>8. Weighting model description</v>
      </c>
      <c r="C21" s="542"/>
      <c r="D21" s="6" t="str">
        <f>'12.lan'!D24</f>
        <v>This is a description of the weighting model.</v>
      </c>
    </row>
    <row r="22" spans="1:4" ht="41.25" customHeight="1">
      <c r="A22" s="2"/>
      <c r="B22" s="546" t="str">
        <f>'12.lan'!D35</f>
        <v>9. Weighting (hidden)</v>
      </c>
      <c r="C22" s="546"/>
      <c r="D22" s="6" t="str">
        <f>'12.lan'!D25</f>
        <v>This is where the calculation determines how the individual stakeholder groups and themes are weighted.</v>
      </c>
    </row>
    <row r="23" spans="1:4" ht="43.5" customHeight="1">
      <c r="A23" s="2"/>
      <c r="B23" s="546" t="str">
        <f>'12.lan'!D36</f>
        <v>10. Industry sectors (hidden)</v>
      </c>
      <c r="C23" s="546"/>
      <c r="D23" s="6" t="str">
        <f>'12.lan'!D26</f>
        <v>This contains an assessment of the relevance of supply chains and environmental sustainability for all industry sectors, used in the weighting.</v>
      </c>
    </row>
    <row r="24" spans="1:4" ht="35.25" customHeight="1">
      <c r="A24" s="2"/>
      <c r="B24" s="542" t="str">
        <f>'12.lan'!D37</f>
        <v>11. Countries (hidden)</v>
      </c>
      <c r="C24" s="542"/>
      <c r="D24" s="6" t="str">
        <f>'12.lan'!D27</f>
        <v>This contains statistics for countries and regions used in the weighting.</v>
      </c>
    </row>
    <row r="25" spans="1:4" ht="15" customHeight="1">
      <c r="A25" s="2"/>
      <c r="B25" s="7"/>
      <c r="C25" s="7"/>
      <c r="D25" s="8"/>
    </row>
    <row r="26" spans="1:4" ht="12.75" customHeight="1">
      <c r="A26" s="2"/>
      <c r="B26" s="536" t="str">
        <f>'12.lan'!D40</f>
        <v>KEY</v>
      </c>
      <c r="C26" s="536"/>
      <c r="D26" s="536"/>
    </row>
    <row r="27" spans="1:4" ht="19.5" customHeight="1">
      <c r="A27" s="2"/>
      <c r="B27" s="543" t="str">
        <f>'12.lan'!D41</f>
        <v>Field is editable (green frame, dark green text)</v>
      </c>
      <c r="C27" s="543"/>
      <c r="D27" s="543"/>
    </row>
    <row r="28" spans="1:4" ht="1.5" customHeight="1">
      <c r="A28" s="2"/>
      <c r="B28" s="9"/>
      <c r="C28" s="9"/>
      <c r="D28" s="10"/>
    </row>
    <row r="29" spans="1:4" ht="19.5" customHeight="1">
      <c r="A29" s="2"/>
      <c r="B29" s="544" t="str">
        <f>'12.lan'!D42</f>
        <v>Feld is read-only (grey frame, dark grey text)</v>
      </c>
      <c r="C29" s="544"/>
      <c r="D29" s="544"/>
    </row>
    <row r="30" spans="1:4" ht="1.5" customHeight="1">
      <c r="A30" s="2"/>
      <c r="B30" s="9"/>
      <c r="C30" s="9"/>
      <c r="D30" s="10"/>
    </row>
    <row r="31" spans="1:4" ht="19.5" customHeight="1">
      <c r="A31" s="2"/>
      <c r="B31" s="545" t="str">
        <f>'12.lan'!D43</f>
        <v>non valid value entry (for correct calculation change value)</v>
      </c>
      <c r="C31" s="545"/>
      <c r="D31" s="545"/>
    </row>
    <row r="32" spans="1:4" ht="12.75" customHeight="1">
      <c r="A32" s="2"/>
      <c r="B32" s="2"/>
      <c r="C32" s="2"/>
      <c r="D32" s="2"/>
    </row>
    <row r="33" spans="1:4" ht="12.75" customHeight="1">
      <c r="A33" s="2"/>
      <c r="B33" s="536" t="str">
        <f>'12.lan'!D54</f>
        <v>CONTACT</v>
      </c>
      <c r="C33" s="536"/>
      <c r="D33" s="536"/>
    </row>
    <row r="34" spans="1:4" ht="12.75" customHeight="1">
      <c r="A34" s="2"/>
      <c r="B34" s="538" t="str">
        <f>'12.lan'!D55</f>
        <v>Questions regarding preparation of balance sheet:
beratung@gemeinwohl-oekonomie.org (GWÖ-BeraterInnen);</v>
      </c>
      <c r="C34" s="538"/>
      <c r="D34" s="538"/>
    </row>
    <row r="35" spans="1:4" ht="12.75" customHeight="1">
      <c r="A35" s="2"/>
      <c r="B35" s="538" t="str">
        <f>'12.lan'!D56</f>
        <v>Questions regarding audit: audit@gemeinwohl-oekonomie.org (GWÖ-AuditorInnen);</v>
      </c>
      <c r="C35" s="538"/>
      <c r="D35" s="538"/>
    </row>
    <row r="36" spans="1:4" ht="12.75" customHeight="1">
      <c r="A36" s="2"/>
      <c r="B36" s="539" t="str">
        <f>'12.lan'!D57</f>
        <v>Feedback on the development of the Matrix: bilanz@ecogood.org (Matrix Development Team)</v>
      </c>
      <c r="C36" s="539"/>
      <c r="D36" s="539"/>
    </row>
    <row r="37" spans="1:4" ht="51" customHeight="1">
      <c r="A37" s="2"/>
      <c r="B37" s="540" t="str">
        <f>'12.lan'!D58</f>
        <v>Excel programming: Christian Loy (christian.loy@gmx.at); Christian Kozina; Multilanguage tool: Bernhard Oberrauch</v>
      </c>
      <c r="C37" s="540"/>
      <c r="D37" s="540"/>
    </row>
    <row r="38" spans="1:4" ht="30" customHeight="1">
      <c r="A38" s="2"/>
      <c r="B38" s="541" t="str">
        <f>'12.lan'!D59</f>
        <v>Contents: ECG-Matrix Development Team</v>
      </c>
      <c r="C38" s="541"/>
      <c r="D38" s="541"/>
    </row>
    <row r="39" spans="1:4" ht="12.75" customHeight="1">
      <c r="A39" s="2"/>
      <c r="B39" s="2"/>
      <c r="C39" s="2"/>
      <c r="D39" s="2"/>
    </row>
    <row r="40" spans="1:4" ht="12.75" customHeight="1">
      <c r="A40" s="2"/>
      <c r="B40" s="536" t="str">
        <f>'12.lan'!D60</f>
        <v>NOTES</v>
      </c>
      <c r="C40" s="536"/>
      <c r="D40" s="536"/>
    </row>
    <row r="41" spans="1:4" ht="28.5" customHeight="1">
      <c r="B41" s="537" t="str">
        <f>'12.lan'!D61</f>
        <v>All sheets are optimised for printing on A4 format (landscape or portrait).
The height of rows can be adjusted, if you enter more text</v>
      </c>
      <c r="C41" s="537"/>
      <c r="D41" s="537"/>
    </row>
  </sheetData>
  <sheetProtection algorithmName="SHA-512" hashValue="P8kkJwVmGXaA9tDFuG70UaiueggPpL7zlK2s0QVFclVaynJ7goe8qwgeUu6uDM4zW9S/vpdmwkm6XFkQjeV3oQ==" saltValue="Yia+d9qn3NeLfUO11xf+9g==" spinCount="100000" sheet="1" objects="1" scenarios="1"/>
  <mergeCells count="33">
    <mergeCell ref="B1:C1"/>
    <mergeCell ref="B2:D2"/>
    <mergeCell ref="B5:D5"/>
    <mergeCell ref="B6:D6"/>
    <mergeCell ref="B8:D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6:D26"/>
    <mergeCell ref="B27:D27"/>
    <mergeCell ref="B29:D29"/>
    <mergeCell ref="B31:D31"/>
    <mergeCell ref="B40:D40"/>
    <mergeCell ref="B41:D41"/>
    <mergeCell ref="B33:D33"/>
    <mergeCell ref="B34:D34"/>
    <mergeCell ref="B35:D35"/>
    <mergeCell ref="B36:D36"/>
    <mergeCell ref="B37:D37"/>
    <mergeCell ref="B38:D38"/>
  </mergeCells>
  <dataValidations count="1">
    <dataValidation type="list" allowBlank="1" showInputMessage="1" showErrorMessage="1" sqref="B1:C1" xr:uid="{00000000-0002-0000-0000-000000000000}">
      <formula1>$M$2:$M$12</formula1>
    </dataValidation>
  </dataValidations>
  <pageMargins left="0.52013888888888893" right="0.59027777777777779" top="0.78749999999999998" bottom="0.78749999999999998" header="0.51180555555555551" footer="0.51180555555555551"/>
  <pageSetup paperSize="9" firstPageNumber="0" orientation="portrait" horizontalDpi="300" verticalDpi="30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9"/>
  <dimension ref="A1:F26"/>
  <sheetViews>
    <sheetView zoomScale="75" zoomScaleNormal="75" workbookViewId="0">
      <pane ySplit="2" topLeftCell="A3" activePane="bottomLeft" state="frozen"/>
      <selection pane="bottomLeft" activeCell="C6" sqref="C6"/>
    </sheetView>
  </sheetViews>
  <sheetFormatPr baseColWidth="10" defaultColWidth="10.28515625" defaultRowHeight="12.75" customHeight="1"/>
  <cols>
    <col min="1" max="1" width="32.28515625" style="291" customWidth="1"/>
    <col min="2" max="2" width="2.28515625" style="291" customWidth="1"/>
    <col min="3" max="3" width="94.28515625" style="292" customWidth="1"/>
    <col min="4" max="4" width="4.7109375" style="292" customWidth="1"/>
    <col min="5" max="16384" width="10.28515625" style="292"/>
  </cols>
  <sheetData>
    <row r="1" spans="1:6" ht="33" customHeight="1">
      <c r="A1" s="293" t="str">
        <f>'12.lan'!D91&amp;" - "&amp;'0. Intro'!B3&amp;" "&amp;'0. Intro'!C3</f>
        <v>Common Good Balance Calculator - Version 5.02</v>
      </c>
      <c r="B1" s="294"/>
      <c r="C1" s="294"/>
      <c r="D1" s="294"/>
      <c r="E1" s="294"/>
      <c r="F1" s="294"/>
    </row>
    <row r="2" spans="1:6" ht="31.5" customHeight="1">
      <c r="A2" s="554" t="str">
        <f>'12.lan'!D204</f>
        <v>Description of the weighting model</v>
      </c>
      <c r="B2" s="554"/>
      <c r="C2" s="554"/>
      <c r="D2" s="295"/>
      <c r="E2" s="295"/>
    </row>
    <row r="3" spans="1:6" ht="12" customHeight="1">
      <c r="A3" s="295"/>
      <c r="B3" s="295"/>
      <c r="C3" s="295"/>
      <c r="D3" s="295"/>
      <c r="E3" s="295"/>
    </row>
    <row r="4" spans="1:6" ht="108" customHeight="1">
      <c r="A4" s="296" t="str">
        <f>'12.lan'!D208</f>
        <v>General</v>
      </c>
      <c r="B4" s="296"/>
      <c r="C4" s="297" t="str">
        <f>'12.lan'!D244</f>
        <v xml:space="preserve">The allocation of equal and fixed scores for all companies has been the subject of much discussion within the Matrix-development team during the past few years. Outside sources have also raised many questions and provided feedback. Untill now, the way points are distributed for themes has been the same for all companies (with the exception of one-person companies), regardless of company size, industry and other parameters (regional background, B2B versus B2C, etc.). However, these variables may well have an effect on the relevance to and effect on the common good.For example, the supply chain of an electronics trading company (A1-A4) is more significant than for a mining company, which, in turn, leaves a huge, direct environmental impact, amongst other things (E3). The new weighting model addresses these issues and highlights the significant factors. A survey on the changes was conducted, with feedback clearly favouring a new approach. </v>
      </c>
      <c r="D4" s="295"/>
      <c r="E4" s="295"/>
    </row>
    <row r="5" spans="1:6" ht="78.75" customHeight="1">
      <c r="A5" s="296" t="str">
        <f>'12.lan'!D207</f>
        <v>Stakekolders &amp; values</v>
      </c>
      <c r="B5" s="296"/>
      <c r="C5" s="297" t="str">
        <f>'12.lan'!D245</f>
        <v>For the weighting of three stakeholder groups, A) suppliers, B) investors and C) employees, the matrix takes into account the following financial flows to these stakeholders: A) procurement expenditure, B) profit and borrowing costs C) wages and salaries. We are aware of the limited significance attached to money in the current matrix and have plans for how this can be improved in the future. At the same time, this information is readily available in companies' financial balance sheets, and easily meets the needs of many companies. Since taxes and borrowing costs are included in procurement expenditure, these account for only 50% of the weighting.</v>
      </c>
    </row>
    <row r="6" spans="1:6" ht="45.75" customHeight="1">
      <c r="A6" s="298" t="str">
        <f>'12.lan'!D205</f>
        <v>Themes</v>
      </c>
      <c r="B6" s="298"/>
      <c r="C6" s="299" t="str">
        <f>'12.lan'!D246</f>
        <v>There are also criteria for the weighting of the themes, for example a company's size or industry or the relevant local employment law. The United Nations' International Standard Industrial Classification of All Economic Activities (ISIC Rev.4) is used for all industry sector definitions. For size classification, definitions as set out by the EU are used. The table below summarises the current weighting factors (as at May 2017):</v>
      </c>
    </row>
    <row r="7" spans="1:6" ht="18.75" customHeight="1">
      <c r="A7" s="300" t="s">
        <v>14</v>
      </c>
      <c r="B7" s="300"/>
      <c r="C7" s="299" t="s">
        <v>154</v>
      </c>
    </row>
    <row r="8" spans="1:6" ht="18.75" customHeight="1">
      <c r="A8" s="301" t="s">
        <v>17</v>
      </c>
      <c r="B8" s="301"/>
      <c r="C8" s="299" t="str">
        <f>'12.lan'!D248</f>
        <v>-</v>
      </c>
    </row>
    <row r="9" spans="1:6" ht="26.25" customHeight="1">
      <c r="A9" s="302" t="s">
        <v>21</v>
      </c>
      <c r="B9" s="302"/>
      <c r="C9" s="299" t="str">
        <f>'12.lan'!D249</f>
        <v>The weighting of this theme is dependent on the environmental effect of the supplier's sector (see sheet “Industry").</v>
      </c>
    </row>
    <row r="10" spans="1:6" ht="24.75" customHeight="1">
      <c r="A10" s="302" t="s">
        <v>24</v>
      </c>
      <c r="B10" s="302"/>
      <c r="C10" s="299" t="str">
        <f>'12.lan'!D250</f>
        <v>The weighting of this theme is dependent on co-determination rights in the countries of the most important supply industries (based on the ILUC index of the International Labour Union).</v>
      </c>
    </row>
    <row r="11" spans="1:6" ht="20.25" customHeight="1">
      <c r="A11" s="302" t="s">
        <v>28</v>
      </c>
      <c r="B11" s="302"/>
      <c r="C11" s="299" t="str">
        <f>'12.lan'!D251</f>
        <v>The weighting of this theme depends on the ratio turnover to the balance sheet total.</v>
      </c>
    </row>
    <row r="12" spans="1:6" ht="20.25" customHeight="1">
      <c r="A12" s="302" t="s">
        <v>32</v>
      </c>
      <c r="B12" s="302"/>
      <c r="C12" s="299" t="str">
        <f>'12.lan'!D252</f>
        <v>The weighting of this theme depends on the ratio profit to turnover</v>
      </c>
    </row>
    <row r="13" spans="1:6" ht="20.25" customHeight="1">
      <c r="A13" s="302" t="s">
        <v>35</v>
      </c>
      <c r="B13" s="302"/>
      <c r="C13" s="299" t="str">
        <f>'12.lan'!D253</f>
        <v>The weighting of this theme is dependent on additions to fixed-assets and financial assets in relation to the balance sheet total.</v>
      </c>
    </row>
    <row r="14" spans="1:6" ht="20.25" customHeight="1">
      <c r="A14" s="302" t="s">
        <v>39</v>
      </c>
      <c r="B14" s="302"/>
      <c r="C14" s="299" t="str">
        <f>'12.lan'!D254</f>
        <v>The weighting of this theme is dependent on the size of the company.</v>
      </c>
    </row>
    <row r="15" spans="1:6" ht="20.25" customHeight="1">
      <c r="A15" s="302" t="s">
        <v>43</v>
      </c>
      <c r="B15" s="302"/>
      <c r="C15" s="299" t="str">
        <f>'12.lan'!D255</f>
        <v>-</v>
      </c>
    </row>
    <row r="16" spans="1:6" ht="20.25" customHeight="1">
      <c r="A16" s="302" t="s">
        <v>48</v>
      </c>
      <c r="B16" s="302"/>
      <c r="C16" s="299" t="str">
        <f>'12.lan'!D256</f>
        <v>-</v>
      </c>
    </row>
    <row r="17" spans="1:3" ht="26.25" customHeight="1">
      <c r="A17" s="302" t="s">
        <v>53</v>
      </c>
      <c r="B17" s="302"/>
      <c r="C17" s="299" t="str">
        <f>'12.lan'!D257</f>
        <v xml:space="preserve">The weighting of this theme is dependent on the existence of a canteen for most of the employees as well as an (estimated) average commute to work. </v>
      </c>
    </row>
    <row r="18" spans="1:3" ht="24.75" customHeight="1">
      <c r="A18" s="302" t="s">
        <v>58</v>
      </c>
      <c r="B18" s="302"/>
      <c r="C18" s="299" t="str">
        <f>'12.lan'!D258</f>
        <v>The weighting of this theme is dependent on company size and co-determination rights in the countries of the most important supply industries (based on the ILUC index of the International Labour Union).</v>
      </c>
    </row>
    <row r="19" spans="1:3" ht="16.5" customHeight="1">
      <c r="A19" s="302" t="s">
        <v>64</v>
      </c>
      <c r="B19" s="302"/>
      <c r="C19" s="299" t="str">
        <f>'12.lan'!D259</f>
        <v>-</v>
      </c>
    </row>
    <row r="20" spans="1:3" ht="16.5" customHeight="1">
      <c r="A20" s="302" t="s">
        <v>68</v>
      </c>
      <c r="B20" s="302"/>
      <c r="C20" s="299" t="str">
        <f>'12.lan'!D260</f>
        <v>-</v>
      </c>
    </row>
    <row r="21" spans="1:3" ht="16.5" customHeight="1">
      <c r="A21" s="302" t="s">
        <v>72</v>
      </c>
      <c r="B21" s="302"/>
      <c r="C21" s="299" t="str">
        <f>'12.lan'!D261</f>
        <v>The weighting of this theme depends on the industry sector.</v>
      </c>
    </row>
    <row r="22" spans="1:3" ht="16.5" customHeight="1">
      <c r="A22" s="302" t="s">
        <v>76</v>
      </c>
      <c r="B22" s="302"/>
      <c r="C22" s="299" t="str">
        <f>'12.lan'!D262</f>
        <v>The weighting of this theme depends on whether customers are primarily individuals or companies.</v>
      </c>
    </row>
    <row r="23" spans="1:3" ht="16.5" customHeight="1">
      <c r="A23" s="302" t="s">
        <v>80</v>
      </c>
      <c r="B23" s="302"/>
      <c r="C23" s="299" t="str">
        <f>'12.lan'!D263</f>
        <v>-</v>
      </c>
    </row>
    <row r="24" spans="1:3" ht="16.5" customHeight="1">
      <c r="A24" s="302" t="s">
        <v>84</v>
      </c>
      <c r="B24" s="302"/>
      <c r="C24" s="299" t="str">
        <f>'12.lan'!D264</f>
        <v>The weighting of this theme is dependent on the return on sales (profit/turnover).</v>
      </c>
    </row>
    <row r="25" spans="1:3" ht="16.5" customHeight="1">
      <c r="A25" s="302" t="s">
        <v>89</v>
      </c>
      <c r="B25" s="302"/>
      <c r="C25" s="299" t="str">
        <f>'12.lan'!D265</f>
        <v>The weighting of this theme depends on the industry sector.</v>
      </c>
    </row>
    <row r="26" spans="1:3" ht="16.5" customHeight="1">
      <c r="A26" s="303" t="s">
        <v>93</v>
      </c>
      <c r="B26" s="303"/>
      <c r="C26" s="299" t="str">
        <f>'12.lan'!D266</f>
        <v>The weighting of this theme depends on the company size and the industry sector.</v>
      </c>
    </row>
  </sheetData>
  <sheetProtection algorithmName="SHA-512" hashValue="qTYVxoLzqPtZXSh22LaX0GX2Q2BSeI+JxLpdgWk9Zi2OTmHzUxyVNn49KbDC8N7xHa+uVrio007AUi1V/6MyEQ==" saltValue="fDGZWiVlMd4X3t68drNfXw==" spinCount="100000" sheet="1" selectLockedCells="1" selectUnlockedCells="1"/>
  <mergeCells count="1">
    <mergeCell ref="A2:C2"/>
  </mergeCells>
  <pageMargins left="0.7" right="0.7" top="0.78749999999999998" bottom="0.78749999999999998" header="0.51180555555555551" footer="0.51180555555555551"/>
  <pageSetup paperSize="9" firstPageNumber="0" orientation="portrait" horizontalDpi="300" verticalDpi="30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dimension ref="A1:S39"/>
  <sheetViews>
    <sheetView zoomScale="75" zoomScaleNormal="75" workbookViewId="0">
      <pane xSplit="2" ySplit="3" topLeftCell="C4" activePane="bottomRight" state="frozen"/>
      <selection pane="topRight" activeCell="C1" sqref="C1"/>
      <selection pane="bottomLeft" activeCell="A4" sqref="A4"/>
      <selection pane="bottomRight" activeCell="K33" sqref="K33"/>
    </sheetView>
  </sheetViews>
  <sheetFormatPr baseColWidth="10" defaultColWidth="10.28515625" defaultRowHeight="9.75" customHeight="1"/>
  <cols>
    <col min="1" max="1" width="6.28515625" style="304" customWidth="1"/>
    <col min="2" max="2" width="43.28515625" style="304" customWidth="1"/>
    <col min="3" max="3" width="5" style="305" customWidth="1"/>
    <col min="4" max="4" width="1.28515625" style="304" customWidth="1"/>
    <col min="5" max="5" width="7.85546875" style="304" customWidth="1"/>
    <col min="6" max="6" width="12.28515625" style="304" customWidth="1"/>
    <col min="7" max="7" width="9.28515625" style="304" hidden="1" customWidth="1"/>
    <col min="8" max="8" width="20.85546875" style="304" hidden="1" customWidth="1"/>
    <col min="9" max="9" width="7.85546875" style="305" customWidth="1"/>
    <col min="10" max="10" width="14.85546875" style="304" customWidth="1"/>
    <col min="11" max="11" width="7.85546875" style="305" customWidth="1"/>
    <col min="12" max="12" width="14.28515625" style="304" customWidth="1"/>
    <col min="13" max="13" width="7.85546875" style="304" customWidth="1"/>
    <col min="14" max="14" width="9.85546875" style="304" customWidth="1"/>
    <col min="15" max="15" width="2.28515625" style="304" customWidth="1"/>
    <col min="16" max="16" width="7.85546875" style="304" customWidth="1"/>
    <col min="17" max="17" width="16.28515625" style="304" customWidth="1"/>
    <col min="18" max="16384" width="10.28515625" style="304"/>
  </cols>
  <sheetData>
    <row r="1" spans="1:19" ht="29.25" customHeight="1">
      <c r="A1" s="622" t="s">
        <v>155</v>
      </c>
      <c r="B1" s="622"/>
      <c r="C1" s="622"/>
      <c r="D1" s="622"/>
      <c r="E1" s="622"/>
      <c r="F1" s="622"/>
      <c r="G1" s="622"/>
      <c r="H1" s="622"/>
      <c r="I1" s="622"/>
      <c r="J1" s="622"/>
      <c r="K1" s="622"/>
      <c r="L1" s="622"/>
      <c r="M1" s="622"/>
      <c r="N1" s="622"/>
      <c r="O1" s="622"/>
      <c r="P1" s="622"/>
      <c r="Q1" s="622"/>
    </row>
    <row r="2" spans="1:19" ht="22.5" customHeight="1">
      <c r="A2" s="306"/>
      <c r="B2" s="307" t="s">
        <v>156</v>
      </c>
      <c r="C2" s="623"/>
      <c r="D2" s="623"/>
      <c r="E2" s="624" t="s">
        <v>157</v>
      </c>
      <c r="F2" s="624"/>
      <c r="G2" s="625" t="s">
        <v>158</v>
      </c>
      <c r="H2" s="625"/>
      <c r="I2" s="626" t="s">
        <v>159</v>
      </c>
      <c r="J2" s="626"/>
      <c r="K2" s="623" t="s">
        <v>160</v>
      </c>
      <c r="L2" s="623"/>
      <c r="M2" s="627" t="s">
        <v>161</v>
      </c>
      <c r="N2" s="627"/>
      <c r="O2" s="628" t="s">
        <v>162</v>
      </c>
      <c r="P2" s="628"/>
      <c r="Q2" s="628"/>
      <c r="R2" s="621"/>
      <c r="S2" s="621"/>
    </row>
    <row r="3" spans="1:19" ht="111" customHeight="1">
      <c r="A3" s="308"/>
      <c r="B3" s="309" t="s">
        <v>163</v>
      </c>
      <c r="C3" s="310"/>
      <c r="D3" s="311"/>
      <c r="E3" s="312" t="s">
        <v>164</v>
      </c>
      <c r="F3" s="311" t="s">
        <v>165</v>
      </c>
      <c r="G3" s="313" t="s">
        <v>164</v>
      </c>
      <c r="H3" s="313" t="s">
        <v>166</v>
      </c>
      <c r="I3" s="314" t="s">
        <v>164</v>
      </c>
      <c r="J3" s="315" t="s">
        <v>167</v>
      </c>
      <c r="K3" s="310" t="s">
        <v>164</v>
      </c>
      <c r="L3" s="311" t="s">
        <v>168</v>
      </c>
      <c r="M3" s="316" t="s">
        <v>164</v>
      </c>
      <c r="N3" s="315" t="s">
        <v>169</v>
      </c>
      <c r="O3" s="317"/>
      <c r="P3" s="318" t="s">
        <v>164</v>
      </c>
      <c r="Q3" s="319" t="s">
        <v>170</v>
      </c>
    </row>
    <row r="4" spans="1:19" ht="71.099999999999994" customHeight="1">
      <c r="A4" s="320" t="s">
        <v>171</v>
      </c>
      <c r="B4" s="321" t="str">
        <f>'12.lan'!D268</f>
        <v>A - agriculture, forestry management, fishing industry</v>
      </c>
      <c r="C4" s="322"/>
      <c r="D4" s="323"/>
      <c r="E4" s="324" t="s">
        <v>152</v>
      </c>
      <c r="F4" s="323"/>
      <c r="G4" s="325"/>
      <c r="H4" s="325" t="s">
        <v>172</v>
      </c>
      <c r="I4" s="635" t="s">
        <v>150</v>
      </c>
      <c r="J4" s="326" t="s">
        <v>173</v>
      </c>
      <c r="K4" s="322" t="s">
        <v>152</v>
      </c>
      <c r="L4" s="323" t="s">
        <v>174</v>
      </c>
      <c r="M4" s="327" t="s">
        <v>150</v>
      </c>
      <c r="N4" s="328"/>
      <c r="O4" s="317"/>
      <c r="P4" s="329" t="s">
        <v>152</v>
      </c>
      <c r="Q4" s="319"/>
    </row>
    <row r="5" spans="1:19" ht="21" customHeight="1">
      <c r="A5" s="330" t="s">
        <v>175</v>
      </c>
      <c r="B5" s="321" t="str">
        <f>'12.lan'!D269</f>
        <v>B - Mining and quarrying</v>
      </c>
      <c r="C5" s="331"/>
      <c r="D5" s="332"/>
      <c r="E5" s="333" t="s">
        <v>152</v>
      </c>
      <c r="F5" s="332"/>
      <c r="G5" s="334"/>
      <c r="H5" s="334"/>
      <c r="I5" s="335" t="s">
        <v>150</v>
      </c>
      <c r="J5" s="336"/>
      <c r="K5" s="331" t="s">
        <v>152</v>
      </c>
      <c r="L5" s="332" t="s">
        <v>176</v>
      </c>
      <c r="M5" s="337" t="s">
        <v>152</v>
      </c>
      <c r="N5" s="336"/>
      <c r="O5" s="317"/>
      <c r="P5" s="329" t="s">
        <v>152</v>
      </c>
      <c r="Q5" s="319"/>
    </row>
    <row r="6" spans="1:19" ht="20.100000000000001" customHeight="1">
      <c r="A6" s="330" t="s">
        <v>177</v>
      </c>
      <c r="B6" s="321" t="str">
        <f>'12.lan'!D270</f>
        <v>C - Manufacturing industries (not further specified)</v>
      </c>
      <c r="C6" s="331"/>
      <c r="D6" s="338"/>
      <c r="E6" s="339" t="s">
        <v>151</v>
      </c>
      <c r="F6" s="338"/>
      <c r="G6" s="340"/>
      <c r="H6" s="340"/>
      <c r="I6" s="335" t="s">
        <v>150</v>
      </c>
      <c r="J6" s="336"/>
      <c r="K6" s="331" t="s">
        <v>151</v>
      </c>
      <c r="L6" s="338" t="s">
        <v>178</v>
      </c>
      <c r="M6" s="337" t="s">
        <v>151</v>
      </c>
      <c r="N6" s="336"/>
      <c r="O6" s="317"/>
      <c r="P6" s="329" t="s">
        <v>151</v>
      </c>
      <c r="Q6" s="319"/>
    </row>
    <row r="7" spans="1:19" ht="9.75" customHeight="1">
      <c r="A7" s="330" t="s">
        <v>179</v>
      </c>
      <c r="B7" s="321" t="str">
        <f>'12.lan'!D271</f>
        <v>Ca - Food production, drinks and tobacco (C10, C11, C12)</v>
      </c>
      <c r="C7" s="331"/>
      <c r="D7" s="341"/>
      <c r="E7" s="342" t="s">
        <v>152</v>
      </c>
      <c r="F7" s="341"/>
      <c r="G7" s="343"/>
      <c r="H7" s="343"/>
      <c r="I7" s="335" t="s">
        <v>150</v>
      </c>
      <c r="J7" s="336"/>
      <c r="K7" s="331" t="s">
        <v>150</v>
      </c>
      <c r="L7" s="341"/>
      <c r="M7" s="337" t="s">
        <v>150</v>
      </c>
      <c r="N7" s="336"/>
      <c r="O7" s="317"/>
      <c r="P7" s="329" t="s">
        <v>152</v>
      </c>
      <c r="Q7" s="319"/>
    </row>
    <row r="8" spans="1:19" ht="9.75" customHeight="1">
      <c r="A8" s="330" t="s">
        <v>180</v>
      </c>
      <c r="B8" s="321" t="str">
        <f>'12.lan'!D272</f>
        <v>Cb - Textile production, clothing, leather and leather products (C13, C14, C15)</v>
      </c>
      <c r="C8" s="331"/>
      <c r="D8" s="341"/>
      <c r="E8" s="342" t="s">
        <v>152</v>
      </c>
      <c r="F8" s="341"/>
      <c r="G8" s="343"/>
      <c r="H8" s="343"/>
      <c r="I8" s="335" t="s">
        <v>150</v>
      </c>
      <c r="J8" s="336"/>
      <c r="K8" s="331" t="s">
        <v>151</v>
      </c>
      <c r="L8" s="341"/>
      <c r="M8" s="337" t="s">
        <v>150</v>
      </c>
      <c r="N8" s="336"/>
      <c r="O8" s="317"/>
      <c r="P8" s="329" t="s">
        <v>152</v>
      </c>
      <c r="Q8" s="319"/>
    </row>
    <row r="9" spans="1:19" ht="9.75" customHeight="1">
      <c r="A9" s="330" t="s">
        <v>181</v>
      </c>
      <c r="B9" s="321" t="str">
        <f>'12.lan'!D273</f>
        <v>Cc - Paper and forest products, also printed matter (C16, C17, C18)</v>
      </c>
      <c r="C9" s="331"/>
      <c r="D9" s="341"/>
      <c r="E9" s="342" t="s">
        <v>151</v>
      </c>
      <c r="F9" s="341"/>
      <c r="G9" s="343"/>
      <c r="H9" s="343"/>
      <c r="I9" s="335" t="s">
        <v>150</v>
      </c>
      <c r="J9" s="336"/>
      <c r="K9" s="331" t="s">
        <v>151</v>
      </c>
      <c r="L9" s="341"/>
      <c r="M9" s="337" t="s">
        <v>150</v>
      </c>
      <c r="N9" s="336"/>
      <c r="O9" s="317"/>
      <c r="P9" s="329" t="s">
        <v>152</v>
      </c>
      <c r="Q9" s="319"/>
    </row>
    <row r="10" spans="1:19" ht="9.75" customHeight="1">
      <c r="A10" s="330" t="s">
        <v>182</v>
      </c>
      <c r="B10" s="321" t="str">
        <f>'12.lan'!D274</f>
        <v>Cd - Production of petrochemical products and plastics (C19, C20;C22)</v>
      </c>
      <c r="C10" s="331"/>
      <c r="D10" s="341"/>
      <c r="E10" s="342" t="s">
        <v>152</v>
      </c>
      <c r="F10" s="341"/>
      <c r="G10" s="343"/>
      <c r="H10" s="343"/>
      <c r="I10" s="335" t="s">
        <v>150</v>
      </c>
      <c r="J10" s="336"/>
      <c r="K10" s="331" t="s">
        <v>151</v>
      </c>
      <c r="L10" s="341"/>
      <c r="M10" s="337" t="s">
        <v>151</v>
      </c>
      <c r="N10" s="336"/>
      <c r="O10" s="317"/>
      <c r="P10" s="329" t="s">
        <v>152</v>
      </c>
      <c r="Q10" s="319"/>
    </row>
    <row r="11" spans="1:19" ht="20.100000000000001" customHeight="1">
      <c r="A11" s="330" t="s">
        <v>183</v>
      </c>
      <c r="B11" s="321" t="str">
        <f>'12.lan'!D275</f>
        <v>Ce - Pharmaceutical products and preparations (C21)</v>
      </c>
      <c r="C11" s="331"/>
      <c r="D11" s="341"/>
      <c r="E11" s="342" t="s">
        <v>150</v>
      </c>
      <c r="F11" s="341"/>
      <c r="G11" s="343"/>
      <c r="H11" s="343"/>
      <c r="I11" s="335" t="s">
        <v>151</v>
      </c>
      <c r="J11" s="344" t="s">
        <v>184</v>
      </c>
      <c r="K11" s="331" t="s">
        <v>151</v>
      </c>
      <c r="L11" s="341"/>
      <c r="M11" s="337" t="s">
        <v>151</v>
      </c>
      <c r="N11" s="336"/>
      <c r="O11" s="317"/>
      <c r="P11" s="329" t="s">
        <v>151</v>
      </c>
      <c r="Q11" s="319"/>
    </row>
    <row r="12" spans="1:19" ht="9.75" customHeight="1">
      <c r="A12" s="330" t="s">
        <v>185</v>
      </c>
      <c r="B12" s="321" t="str">
        <f>'12.lan'!D276</f>
        <v>Cf - Production of non-metallic minerals (C23)</v>
      </c>
      <c r="C12" s="331"/>
      <c r="D12" s="341"/>
      <c r="E12" s="342" t="s">
        <v>151</v>
      </c>
      <c r="F12" s="341"/>
      <c r="G12" s="343"/>
      <c r="H12" s="343"/>
      <c r="I12" s="335" t="s">
        <v>150</v>
      </c>
      <c r="J12" s="344"/>
      <c r="K12" s="331" t="s">
        <v>151</v>
      </c>
      <c r="L12" s="341"/>
      <c r="M12" s="337" t="s">
        <v>151</v>
      </c>
      <c r="N12" s="336"/>
      <c r="O12" s="317"/>
      <c r="P12" s="329" t="s">
        <v>151</v>
      </c>
      <c r="Q12" s="319"/>
    </row>
    <row r="13" spans="1:19" ht="9.75" customHeight="1">
      <c r="A13" s="330" t="s">
        <v>186</v>
      </c>
      <c r="B13" s="321" t="str">
        <f>'12.lan'!D277</f>
        <v>Cg - Production of metal and metallic products (excl. machines and equipment) (C24, C25)</v>
      </c>
      <c r="C13" s="331"/>
      <c r="D13" s="341"/>
      <c r="E13" s="342" t="s">
        <v>152</v>
      </c>
      <c r="F13" s="341"/>
      <c r="G13" s="343"/>
      <c r="H13" s="343"/>
      <c r="I13" s="335" t="s">
        <v>150</v>
      </c>
      <c r="J13" s="344"/>
      <c r="K13" s="331" t="s">
        <v>151</v>
      </c>
      <c r="L13" s="341"/>
      <c r="M13" s="337" t="s">
        <v>151</v>
      </c>
      <c r="N13" s="336"/>
      <c r="O13" s="317"/>
      <c r="P13" s="329" t="s">
        <v>152</v>
      </c>
      <c r="Q13" s="319"/>
    </row>
    <row r="14" spans="1:19" ht="9.75" customHeight="1">
      <c r="A14" s="330" t="s">
        <v>187</v>
      </c>
      <c r="B14" s="321" t="str">
        <f>'12.lan'!D278</f>
        <v>Ch - Production of electronic equipment, instruments and components as well as computers (C26, C27, C28)</v>
      </c>
      <c r="C14" s="331"/>
      <c r="D14" s="341"/>
      <c r="E14" s="342" t="s">
        <v>152</v>
      </c>
      <c r="F14" s="341"/>
      <c r="G14" s="343"/>
      <c r="H14" s="343"/>
      <c r="I14" s="335" t="s">
        <v>151</v>
      </c>
      <c r="J14" s="344"/>
      <c r="K14" s="331" t="s">
        <v>151</v>
      </c>
      <c r="L14" s="341"/>
      <c r="M14" s="337" t="s">
        <v>151</v>
      </c>
      <c r="N14" s="336"/>
      <c r="O14" s="317"/>
      <c r="P14" s="329" t="s">
        <v>152</v>
      </c>
      <c r="Q14" s="319"/>
    </row>
    <row r="15" spans="1:19" ht="20.100000000000001" customHeight="1">
      <c r="A15" s="330" t="s">
        <v>188</v>
      </c>
      <c r="B15" s="321" t="str">
        <f>'12.lan'!D279</f>
        <v>D - Electric, Gas, Steam and Refrigeration</v>
      </c>
      <c r="C15" s="331"/>
      <c r="D15" s="345"/>
      <c r="E15" s="346" t="s">
        <v>150</v>
      </c>
      <c r="F15" s="347"/>
      <c r="G15" s="348"/>
      <c r="H15" s="348"/>
      <c r="I15" s="335" t="s">
        <v>150</v>
      </c>
      <c r="J15" s="336"/>
      <c r="K15" s="331" t="s">
        <v>152</v>
      </c>
      <c r="L15" s="345" t="s">
        <v>189</v>
      </c>
      <c r="M15" s="337" t="s">
        <v>151</v>
      </c>
      <c r="N15" s="336"/>
      <c r="O15" s="317"/>
      <c r="P15" s="329" t="s">
        <v>152</v>
      </c>
      <c r="Q15" s="319"/>
    </row>
    <row r="16" spans="1:19" ht="20.100000000000001" customHeight="1">
      <c r="A16" s="330" t="s">
        <v>190</v>
      </c>
      <c r="B16" s="321" t="str">
        <f>'12.lan'!D280</f>
        <v>E - Water supply, waste management</v>
      </c>
      <c r="C16" s="331"/>
      <c r="D16" s="332"/>
      <c r="E16" s="333" t="s">
        <v>150</v>
      </c>
      <c r="F16" s="332"/>
      <c r="G16" s="334"/>
      <c r="H16" s="334"/>
      <c r="I16" s="335" t="s">
        <v>151</v>
      </c>
      <c r="J16" s="336"/>
      <c r="K16" s="331" t="s">
        <v>151</v>
      </c>
      <c r="L16" s="332"/>
      <c r="M16" s="337" t="s">
        <v>151</v>
      </c>
      <c r="N16" s="336"/>
      <c r="O16" s="317"/>
      <c r="P16" s="329" t="s">
        <v>150</v>
      </c>
      <c r="Q16" s="319"/>
    </row>
    <row r="17" spans="1:17" ht="39.75" customHeight="1">
      <c r="A17" s="330" t="s">
        <v>191</v>
      </c>
      <c r="B17" s="321" t="str">
        <f>'12.lan'!D281</f>
        <v>F - Construction industry</v>
      </c>
      <c r="C17" s="331"/>
      <c r="D17" s="332"/>
      <c r="E17" s="333" t="s">
        <v>152</v>
      </c>
      <c r="F17" s="332"/>
      <c r="G17" s="334"/>
      <c r="H17" s="334"/>
      <c r="I17" s="335" t="s">
        <v>152</v>
      </c>
      <c r="J17" s="336"/>
      <c r="K17" s="331" t="s">
        <v>152</v>
      </c>
      <c r="L17" s="332" t="s">
        <v>192</v>
      </c>
      <c r="M17" s="337" t="s">
        <v>152</v>
      </c>
      <c r="N17" s="336"/>
      <c r="O17" s="317"/>
      <c r="P17" s="329" t="s">
        <v>152</v>
      </c>
      <c r="Q17" s="319"/>
    </row>
    <row r="18" spans="1:17" ht="9.75" customHeight="1">
      <c r="A18" s="330" t="s">
        <v>193</v>
      </c>
      <c r="B18" s="321" t="str">
        <f>'12.lan'!D282</f>
        <v>G - Wholesale and retail</v>
      </c>
      <c r="C18" s="331"/>
      <c r="D18" s="332"/>
      <c r="E18" s="333" t="s">
        <v>150</v>
      </c>
      <c r="F18" s="332"/>
      <c r="G18" s="334"/>
      <c r="H18" s="334"/>
      <c r="I18" s="335" t="s">
        <v>152</v>
      </c>
      <c r="J18" s="336"/>
      <c r="K18" s="331" t="s">
        <v>150</v>
      </c>
      <c r="L18" s="332"/>
      <c r="M18" s="337" t="s">
        <v>150</v>
      </c>
      <c r="N18" s="336"/>
      <c r="O18" s="317"/>
      <c r="P18" s="329" t="s">
        <v>151</v>
      </c>
      <c r="Q18" s="319"/>
    </row>
    <row r="19" spans="1:17" ht="9.75" customHeight="1">
      <c r="A19" s="330" t="s">
        <v>194</v>
      </c>
      <c r="B19" s="321" t="str">
        <f>'12.lan'!D283</f>
        <v>H - Transport and warehousing</v>
      </c>
      <c r="C19" s="331"/>
      <c r="D19" s="332"/>
      <c r="E19" s="333" t="s">
        <v>150</v>
      </c>
      <c r="F19" s="332"/>
      <c r="G19" s="334"/>
      <c r="H19" s="334"/>
      <c r="I19" s="335" t="s">
        <v>150</v>
      </c>
      <c r="J19" s="336"/>
      <c r="K19" s="331" t="s">
        <v>152</v>
      </c>
      <c r="L19" s="332"/>
      <c r="M19" s="337" t="s">
        <v>150</v>
      </c>
      <c r="N19" s="336"/>
      <c r="O19" s="317"/>
      <c r="P19" s="329" t="s">
        <v>151</v>
      </c>
      <c r="Q19" s="319"/>
    </row>
    <row r="20" spans="1:17" ht="9.75" customHeight="1">
      <c r="A20" s="330" t="s">
        <v>195</v>
      </c>
      <c r="B20" s="321" t="str">
        <f>'12.lan'!D284</f>
        <v>I - Accommodation and catering</v>
      </c>
      <c r="C20" s="331"/>
      <c r="D20" s="332"/>
      <c r="E20" s="333" t="s">
        <v>151</v>
      </c>
      <c r="F20" s="332"/>
      <c r="G20" s="334"/>
      <c r="H20" s="334"/>
      <c r="I20" s="335" t="s">
        <v>150</v>
      </c>
      <c r="J20" s="336"/>
      <c r="K20" s="331" t="s">
        <v>151</v>
      </c>
      <c r="L20" s="332"/>
      <c r="M20" s="337" t="s">
        <v>150</v>
      </c>
      <c r="N20" s="336"/>
      <c r="O20" s="317"/>
      <c r="P20" s="329" t="s">
        <v>151</v>
      </c>
      <c r="Q20" s="319"/>
    </row>
    <row r="21" spans="1:17" ht="9.75" customHeight="1">
      <c r="A21" s="330" t="s">
        <v>196</v>
      </c>
      <c r="B21" s="321" t="str">
        <f>'12.lan'!D285</f>
        <v>J - Information and Communication</v>
      </c>
      <c r="C21" s="331"/>
      <c r="D21" s="332"/>
      <c r="E21" s="333" t="s">
        <v>150</v>
      </c>
      <c r="F21" s="332"/>
      <c r="G21" s="334"/>
      <c r="H21" s="334"/>
      <c r="I21" s="335" t="s">
        <v>150</v>
      </c>
      <c r="J21" s="336"/>
      <c r="K21" s="331" t="s">
        <v>151</v>
      </c>
      <c r="L21" s="332"/>
      <c r="M21" s="337" t="s">
        <v>150</v>
      </c>
      <c r="N21" s="336"/>
      <c r="O21" s="317"/>
      <c r="P21" s="329" t="s">
        <v>151</v>
      </c>
      <c r="Q21" s="319"/>
    </row>
    <row r="22" spans="1:17" ht="9.75" customHeight="1">
      <c r="A22" s="330" t="s">
        <v>197</v>
      </c>
      <c r="B22" s="321" t="str">
        <f>'12.lan'!D286</f>
        <v>K - Financial services</v>
      </c>
      <c r="C22" s="331"/>
      <c r="D22" s="332"/>
      <c r="E22" s="333" t="s">
        <v>150</v>
      </c>
      <c r="F22" s="332"/>
      <c r="G22" s="334"/>
      <c r="H22" s="334"/>
      <c r="I22" s="335" t="s">
        <v>152</v>
      </c>
      <c r="J22" s="336"/>
      <c r="K22" s="331" t="s">
        <v>150</v>
      </c>
      <c r="L22" s="332"/>
      <c r="M22" s="337" t="s">
        <v>150</v>
      </c>
      <c r="N22" s="336"/>
      <c r="O22" s="317"/>
      <c r="P22" s="329" t="s">
        <v>150</v>
      </c>
      <c r="Q22" s="319"/>
    </row>
    <row r="23" spans="1:17" ht="9.75" customHeight="1">
      <c r="A23" s="330" t="s">
        <v>198</v>
      </c>
      <c r="B23" s="321" t="str">
        <f>'12.lan'!D287</f>
        <v>L - Real estate</v>
      </c>
      <c r="C23" s="331"/>
      <c r="D23" s="332"/>
      <c r="E23" s="333" t="s">
        <v>150</v>
      </c>
      <c r="F23" s="332"/>
      <c r="G23" s="334"/>
      <c r="H23" s="334"/>
      <c r="I23" s="335" t="s">
        <v>152</v>
      </c>
      <c r="J23" s="336"/>
      <c r="K23" s="331" t="s">
        <v>150</v>
      </c>
      <c r="L23" s="332"/>
      <c r="M23" s="337" t="s">
        <v>150</v>
      </c>
      <c r="N23" s="336"/>
      <c r="O23" s="317"/>
      <c r="P23" s="329" t="s">
        <v>151</v>
      </c>
      <c r="Q23" s="319"/>
    </row>
    <row r="24" spans="1:17" ht="9.75" customHeight="1">
      <c r="A24" s="330" t="s">
        <v>199</v>
      </c>
      <c r="B24" s="321" t="str">
        <f>'12.lan'!D288</f>
        <v>M - Professional, technical and scientific services</v>
      </c>
      <c r="C24" s="331"/>
      <c r="D24" s="332"/>
      <c r="E24" s="333" t="s">
        <v>150</v>
      </c>
      <c r="F24" s="332"/>
      <c r="G24" s="334"/>
      <c r="H24" s="334"/>
      <c r="I24" s="335" t="s">
        <v>150</v>
      </c>
      <c r="J24" s="336"/>
      <c r="K24" s="331" t="s">
        <v>150</v>
      </c>
      <c r="L24" s="332"/>
      <c r="M24" s="337" t="s">
        <v>150</v>
      </c>
      <c r="N24" s="336"/>
      <c r="O24" s="317"/>
      <c r="P24" s="329" t="s">
        <v>150</v>
      </c>
      <c r="Q24" s="319"/>
    </row>
    <row r="25" spans="1:17" ht="9.75" customHeight="1">
      <c r="A25" s="330" t="s">
        <v>200</v>
      </c>
      <c r="B25" s="321" t="str">
        <f>'12.lan'!D289</f>
        <v>N - Administrative and support services</v>
      </c>
      <c r="C25" s="331"/>
      <c r="D25" s="332"/>
      <c r="E25" s="333" t="s">
        <v>150</v>
      </c>
      <c r="F25" s="332"/>
      <c r="G25" s="334"/>
      <c r="H25" s="334"/>
      <c r="I25" s="335" t="s">
        <v>150</v>
      </c>
      <c r="J25" s="336"/>
      <c r="K25" s="331" t="s">
        <v>150</v>
      </c>
      <c r="L25" s="332"/>
      <c r="M25" s="337" t="s">
        <v>150</v>
      </c>
      <c r="N25" s="336"/>
      <c r="O25" s="317"/>
      <c r="P25" s="329" t="s">
        <v>150</v>
      </c>
      <c r="Q25" s="319"/>
    </row>
    <row r="26" spans="1:17" ht="11.25" customHeight="1">
      <c r="A26" s="330" t="s">
        <v>201</v>
      </c>
      <c r="B26" s="321" t="str">
        <f>'12.lan'!D290</f>
        <v>O - Public administration; defence; social security</v>
      </c>
      <c r="C26" s="331"/>
      <c r="D26" s="332"/>
      <c r="E26" s="333" t="s">
        <v>150</v>
      </c>
      <c r="F26" s="332"/>
      <c r="G26" s="334"/>
      <c r="H26" s="334"/>
      <c r="I26" s="335" t="s">
        <v>150</v>
      </c>
      <c r="J26" s="336"/>
      <c r="K26" s="331" t="s">
        <v>150</v>
      </c>
      <c r="L26" s="332"/>
      <c r="M26" s="337" t="s">
        <v>150</v>
      </c>
      <c r="N26" s="336"/>
      <c r="O26" s="317"/>
      <c r="P26" s="329" t="s">
        <v>150</v>
      </c>
      <c r="Q26" s="319"/>
    </row>
    <row r="27" spans="1:17" ht="9.75" customHeight="1">
      <c r="A27" s="330" t="s">
        <v>202</v>
      </c>
      <c r="B27" s="321" t="str">
        <f>'12.lan'!D291</f>
        <v>P - Education</v>
      </c>
      <c r="C27" s="331"/>
      <c r="D27" s="332"/>
      <c r="E27" s="333" t="s">
        <v>150</v>
      </c>
      <c r="F27" s="332"/>
      <c r="G27" s="334"/>
      <c r="H27" s="334"/>
      <c r="I27" s="335" t="s">
        <v>150</v>
      </c>
      <c r="J27" s="336"/>
      <c r="K27" s="331" t="s">
        <v>150</v>
      </c>
      <c r="L27" s="332"/>
      <c r="M27" s="337" t="s">
        <v>150</v>
      </c>
      <c r="N27" s="336"/>
      <c r="O27" s="317"/>
      <c r="P27" s="329" t="s">
        <v>150</v>
      </c>
      <c r="Q27" s="319"/>
    </row>
    <row r="28" spans="1:17" ht="9.75" customHeight="1">
      <c r="A28" s="330" t="s">
        <v>203</v>
      </c>
      <c r="B28" s="321" t="str">
        <f>'12.lan'!D292</f>
        <v>Q - Health and social work</v>
      </c>
      <c r="C28" s="331"/>
      <c r="D28" s="332"/>
      <c r="E28" s="333" t="s">
        <v>150</v>
      </c>
      <c r="F28" s="332"/>
      <c r="G28" s="334"/>
      <c r="H28" s="334"/>
      <c r="I28" s="335" t="s">
        <v>150</v>
      </c>
      <c r="J28" s="336"/>
      <c r="K28" s="331" t="s">
        <v>150</v>
      </c>
      <c r="L28" s="332"/>
      <c r="M28" s="337" t="s">
        <v>150</v>
      </c>
      <c r="N28" s="336"/>
      <c r="O28" s="317"/>
      <c r="P28" s="329" t="s">
        <v>150</v>
      </c>
      <c r="Q28" s="319"/>
    </row>
    <row r="29" spans="1:17" ht="9.75" customHeight="1">
      <c r="A29" s="330" t="s">
        <v>204</v>
      </c>
      <c r="B29" s="321" t="str">
        <f>'12.lan'!D293</f>
        <v>R - Art, education and leisure</v>
      </c>
      <c r="C29" s="331"/>
      <c r="D29" s="332"/>
      <c r="E29" s="333" t="s">
        <v>150</v>
      </c>
      <c r="F29" s="332"/>
      <c r="G29" s="334"/>
      <c r="H29" s="334"/>
      <c r="I29" s="335" t="s">
        <v>150</v>
      </c>
      <c r="J29" s="336"/>
      <c r="K29" s="331" t="s">
        <v>150</v>
      </c>
      <c r="L29" s="332"/>
      <c r="M29" s="337" t="s">
        <v>150</v>
      </c>
      <c r="N29" s="336"/>
      <c r="O29" s="317"/>
      <c r="P29" s="329" t="s">
        <v>150</v>
      </c>
      <c r="Q29" s="319"/>
    </row>
    <row r="30" spans="1:17" ht="9.75" customHeight="1">
      <c r="A30" s="330" t="s">
        <v>205</v>
      </c>
      <c r="B30" s="321" t="str">
        <f>'12.lan'!D294</f>
        <v>S - Other services</v>
      </c>
      <c r="C30" s="331"/>
      <c r="D30" s="332"/>
      <c r="E30" s="333" t="s">
        <v>150</v>
      </c>
      <c r="F30" s="332"/>
      <c r="G30" s="334"/>
      <c r="H30" s="334"/>
      <c r="I30" s="335" t="s">
        <v>150</v>
      </c>
      <c r="J30" s="336"/>
      <c r="K30" s="331" t="s">
        <v>150</v>
      </c>
      <c r="L30" s="332"/>
      <c r="M30" s="337" t="s">
        <v>150</v>
      </c>
      <c r="N30" s="336"/>
      <c r="O30" s="317"/>
      <c r="P30" s="329" t="s">
        <v>150</v>
      </c>
      <c r="Q30" s="319"/>
    </row>
    <row r="31" spans="1:17" ht="11.25" customHeight="1">
      <c r="A31" s="330" t="s">
        <v>206</v>
      </c>
      <c r="B31" s="321" t="str">
        <f>'12.lan'!D295</f>
        <v>Please enter</v>
      </c>
      <c r="C31" s="331"/>
      <c r="D31" s="332"/>
      <c r="E31" s="333" t="s">
        <v>150</v>
      </c>
      <c r="F31" s="332"/>
      <c r="G31" s="334"/>
      <c r="H31" s="334"/>
      <c r="I31" s="335" t="s">
        <v>150</v>
      </c>
      <c r="J31" s="336"/>
      <c r="K31" s="331" t="s">
        <v>150</v>
      </c>
      <c r="L31" s="332"/>
      <c r="M31" s="337" t="s">
        <v>150</v>
      </c>
      <c r="N31" s="336"/>
      <c r="O31" s="349"/>
      <c r="P31" s="350" t="s">
        <v>150</v>
      </c>
      <c r="Q31" s="351"/>
    </row>
    <row r="32" spans="1:17" ht="12" customHeight="1">
      <c r="A32" s="352" t="s">
        <v>207</v>
      </c>
      <c r="B32" s="321" t="str">
        <f>'12.lan'!D296</f>
        <v>U - Extraterritorial organisations and bodies</v>
      </c>
      <c r="C32" s="331"/>
      <c r="D32" s="332"/>
      <c r="E32" s="333" t="s">
        <v>150</v>
      </c>
      <c r="F32" s="332"/>
      <c r="G32" s="334"/>
      <c r="H32" s="334"/>
      <c r="I32" s="335" t="s">
        <v>150</v>
      </c>
      <c r="J32" s="336"/>
      <c r="K32" s="331" t="s">
        <v>150</v>
      </c>
      <c r="L32" s="332"/>
      <c r="M32" s="337" t="s">
        <v>150</v>
      </c>
      <c r="N32" s="336"/>
      <c r="O32" s="349"/>
      <c r="P32" s="350" t="s">
        <v>150</v>
      </c>
      <c r="Q32" s="351"/>
    </row>
    <row r="34" spans="1:12" ht="9.75" customHeight="1">
      <c r="A34" s="353" t="str">
        <f>'9. Weighting'!H35</f>
        <v>Pl</v>
      </c>
      <c r="B34" s="354" t="s">
        <v>208</v>
      </c>
      <c r="C34" s="355">
        <f>'9. Weighting'!I35</f>
        <v>0</v>
      </c>
      <c r="D34" s="354"/>
      <c r="E34" s="354"/>
      <c r="F34" s="354"/>
      <c r="G34" s="354"/>
      <c r="H34" s="354"/>
      <c r="I34" s="356" t="str">
        <f>IFERROR(VLOOKUP(A34,'10. Industry'!$A$4:$O$32,9,FALSE),"mittel")</f>
        <v>mittel</v>
      </c>
      <c r="J34" s="357">
        <f>VLOOKUP(I34,'9. Weighting'!$F$49:$H$53,3,FALSE)</f>
        <v>1</v>
      </c>
      <c r="K34" s="356" t="str">
        <f>IFERROR(VLOOKUP(A34,'10. Industry'!$A$4:$O$32,11,FALSE),"mittel")</f>
        <v>mittel</v>
      </c>
      <c r="L34" s="358">
        <f>VLOOKUP(K34,'9. Weighting'!$F$49:$H$53,3,FALSE)</f>
        <v>1</v>
      </c>
    </row>
    <row r="35" spans="1:12" ht="9.75" customHeight="1">
      <c r="A35" s="359" t="str">
        <f>'9. Weighting'!H36</f>
        <v>Pl</v>
      </c>
      <c r="B35" s="360" t="s">
        <v>209</v>
      </c>
      <c r="C35" s="361">
        <f>'9. Weighting'!I36</f>
        <v>0</v>
      </c>
      <c r="D35" s="360"/>
      <c r="E35" s="360"/>
      <c r="F35" s="360"/>
      <c r="G35" s="360"/>
      <c r="H35" s="360"/>
      <c r="I35" s="456" t="str">
        <f>IFERROR(VLOOKUP(A35,'10. Industry'!$A$4:$O$32,9,FALSE),"mittel")</f>
        <v>mittel</v>
      </c>
      <c r="J35" s="362">
        <f>VLOOKUP(I35,'9. Weighting'!$F$49:$H$53,3,FALSE)</f>
        <v>1</v>
      </c>
      <c r="K35" s="456" t="str">
        <f>IFERROR(VLOOKUP(A35,'10. Industry'!$A$4:$O$32,11,FALSE),"mittel")</f>
        <v>mittel</v>
      </c>
      <c r="L35" s="363">
        <f>VLOOKUP(K35,'9. Weighting'!$F$49:$H$53,3,FALSE)</f>
        <v>1</v>
      </c>
    </row>
    <row r="36" spans="1:12" ht="9.75" customHeight="1">
      <c r="A36" s="359" t="str">
        <f>'9. Weighting'!H37</f>
        <v>Pl</v>
      </c>
      <c r="B36" s="360" t="s">
        <v>210</v>
      </c>
      <c r="C36" s="361">
        <f>'9. Weighting'!I37</f>
        <v>0</v>
      </c>
      <c r="D36" s="360"/>
      <c r="E36" s="360"/>
      <c r="F36" s="360"/>
      <c r="G36" s="360"/>
      <c r="H36" s="360"/>
      <c r="I36" s="456" t="str">
        <f>IFERROR(VLOOKUP(A36,'10. Industry'!$A$4:$O$32,9,FALSE),"mittel")</f>
        <v>mittel</v>
      </c>
      <c r="J36" s="362">
        <f>VLOOKUP(I36,'9. Weighting'!$F$49:$H$53,3,FALSE)</f>
        <v>1</v>
      </c>
      <c r="K36" s="456" t="str">
        <f>IFERROR(VLOOKUP(A36,'10. Industry'!$A$4:$O$32,11,FALSE),"mittel")</f>
        <v>mittel</v>
      </c>
      <c r="L36" s="363">
        <f>VLOOKUP(K36,'9. Weighting'!$F$49:$H$53,3,FALSE)</f>
        <v>1</v>
      </c>
    </row>
    <row r="37" spans="1:12" ht="9.75" customHeight="1">
      <c r="A37" s="359"/>
      <c r="B37" s="360"/>
      <c r="C37" s="364">
        <f>1-SUM(C34:C36)</f>
        <v>1</v>
      </c>
      <c r="D37" s="360"/>
      <c r="E37" s="360"/>
      <c r="F37" s="360"/>
      <c r="G37" s="360"/>
      <c r="H37" s="360"/>
      <c r="I37" s="456" t="s">
        <v>150</v>
      </c>
      <c r="J37" s="362">
        <f>VLOOKUP(I37,'9. Weighting'!$F$49:$H$53,3,FALSE)</f>
        <v>1</v>
      </c>
      <c r="K37" s="456" t="s">
        <v>150</v>
      </c>
      <c r="L37" s="363">
        <f>VLOOKUP(K37,'9. Weighting'!$F$49:$H$53,3,FALSE)</f>
        <v>1</v>
      </c>
    </row>
    <row r="38" spans="1:12" ht="9.75" customHeight="1">
      <c r="A38" s="359"/>
      <c r="B38" s="360"/>
      <c r="C38" s="364">
        <f>SUM(C34:C37)</f>
        <v>1</v>
      </c>
      <c r="D38" s="360"/>
      <c r="E38" s="360"/>
      <c r="F38" s="360"/>
      <c r="G38" s="360"/>
      <c r="H38" s="360"/>
      <c r="I38" s="456"/>
      <c r="J38" s="362">
        <f>C34*J34+C35*J35+C36*J36+C37*J37</f>
        <v>1</v>
      </c>
      <c r="K38" s="456"/>
      <c r="L38" s="363">
        <f>C34*L34+C35*L35+C36*L36+C37*L37</f>
        <v>1</v>
      </c>
    </row>
    <row r="39" spans="1:12" ht="9.75" customHeight="1">
      <c r="A39" s="365"/>
      <c r="B39" s="366" t="s">
        <v>211</v>
      </c>
      <c r="C39" s="367"/>
      <c r="D39" s="368"/>
      <c r="E39" s="368"/>
      <c r="F39" s="368"/>
      <c r="G39" s="368"/>
      <c r="H39" s="368"/>
      <c r="I39" s="367"/>
      <c r="J39" s="368" t="str">
        <f>IF(J38&lt;0.75,"niedrig",IF(J38&lt;1.25,"mittel",IF(J38&gt;1.75,"sehr hoch","hoch")))</f>
        <v>mittel</v>
      </c>
      <c r="K39" s="367"/>
      <c r="L39" s="369" t="str">
        <f>IF(L38&lt;0.75,"niedrig",IF(L38&lt;1.25,"mittel",IF(L38&gt;1.75,"sehr hoch","hoch")))</f>
        <v>mittel</v>
      </c>
    </row>
  </sheetData>
  <sheetProtection algorithmName="SHA-512" hashValue="eDRyrjSgDUaSxaqE+lWgpjMpDkEZMzDHL8eybJxcUHslRvx9aYvtfrE7WGawFuMYSImpYl81qYYZ5SZ52ayfTQ==" saltValue="bNxHYtWZZAAethOd/NAT4Q==" spinCount="100000" sheet="1" selectLockedCells="1" selectUnlockedCells="1"/>
  <mergeCells count="9">
    <mergeCell ref="R2:S2"/>
    <mergeCell ref="A1:Q1"/>
    <mergeCell ref="C2:D2"/>
    <mergeCell ref="E2:F2"/>
    <mergeCell ref="G2:H2"/>
    <mergeCell ref="I2:J2"/>
    <mergeCell ref="K2:L2"/>
    <mergeCell ref="M2:N2"/>
    <mergeCell ref="O2:Q2"/>
  </mergeCells>
  <pageMargins left="0.7" right="0.7" top="0.78749999999999998" bottom="0.78749999999999998" header="0.51180555555555551" footer="0.51180555555555551"/>
  <pageSetup paperSize="9" firstPageNumber="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dimension ref="A1:Q293"/>
  <sheetViews>
    <sheetView topLeftCell="A5" zoomScale="75" zoomScaleNormal="75" workbookViewId="0">
      <pane ySplit="1125" topLeftCell="A229" activePane="bottomLeft"/>
      <selection activeCell="A5" sqref="A1:XFD1048576"/>
      <selection pane="bottomLeft" activeCell="H241" sqref="H241"/>
    </sheetView>
  </sheetViews>
  <sheetFormatPr baseColWidth="10" defaultColWidth="10.28515625" defaultRowHeight="9.75" customHeight="1"/>
  <cols>
    <col min="1" max="1" width="18" style="370" customWidth="1"/>
    <col min="2" max="3" width="16.28515625" style="371" customWidth="1"/>
    <col min="4" max="4" width="19.28515625" style="371" customWidth="1"/>
    <col min="5" max="5" width="22.28515625" style="371" customWidth="1"/>
    <col min="6" max="6" width="20.28515625" style="371" customWidth="1"/>
    <col min="7" max="7" width="10.28515625" style="371" customWidth="1"/>
    <col min="8" max="9" width="10.28515625" style="370" customWidth="1"/>
    <col min="10" max="10" width="10.85546875" style="370" customWidth="1"/>
    <col min="11" max="16384" width="10.28515625" style="370"/>
  </cols>
  <sheetData>
    <row r="1" spans="1:17" ht="27" customHeight="1">
      <c r="A1" s="629" t="s">
        <v>212</v>
      </c>
      <c r="B1" s="629"/>
      <c r="C1" s="629"/>
      <c r="D1" s="629"/>
      <c r="E1" s="629"/>
      <c r="F1" s="629"/>
      <c r="G1" s="629"/>
    </row>
    <row r="2" spans="1:17" ht="34.5" customHeight="1">
      <c r="A2" s="372"/>
      <c r="B2" s="373" t="s">
        <v>213</v>
      </c>
      <c r="C2" s="374" t="s">
        <v>214</v>
      </c>
      <c r="D2" s="374" t="s">
        <v>215</v>
      </c>
      <c r="E2" s="373" t="s">
        <v>216</v>
      </c>
      <c r="F2" s="373" t="s">
        <v>217</v>
      </c>
      <c r="G2" s="373" t="s">
        <v>218</v>
      </c>
      <c r="H2" s="375" t="s">
        <v>219</v>
      </c>
      <c r="I2" s="376" t="s">
        <v>220</v>
      </c>
      <c r="J2" s="377" t="s">
        <v>111</v>
      </c>
      <c r="K2" s="378" t="s">
        <v>221</v>
      </c>
      <c r="L2" s="630" t="s">
        <v>222</v>
      </c>
      <c r="M2" s="630"/>
      <c r="N2" s="630"/>
      <c r="O2" s="631" t="s">
        <v>223</v>
      </c>
      <c r="P2" s="631"/>
      <c r="Q2" s="631"/>
    </row>
    <row r="3" spans="1:17" ht="9.75" customHeight="1">
      <c r="A3" s="372" t="s">
        <v>224</v>
      </c>
      <c r="B3" s="632">
        <f>'9. Weighting'!I10</f>
        <v>0</v>
      </c>
      <c r="C3" s="379">
        <f>'9. Weighting'!I13</f>
        <v>0</v>
      </c>
      <c r="D3" s="380" t="str">
        <f>'9. Weighting'!H13</f>
        <v>Please choose</v>
      </c>
      <c r="E3" s="381">
        <f t="shared" ref="E3:E8" si="0">IFERROR(VLOOKUP(D3,$A$22:$G$400,3,FALSE),$C$243)</f>
        <v>0.97803586258736475</v>
      </c>
      <c r="F3" s="382">
        <f t="shared" ref="F3:F8" si="1">IFERROR(C3*E3,"0")</f>
        <v>0</v>
      </c>
      <c r="G3" s="633">
        <f>SUM(F3:F8)</f>
        <v>0</v>
      </c>
      <c r="H3" s="384" t="str">
        <f t="shared" ref="H3:H8" si="2">IFERROR(F3/$G$3,"-")</f>
        <v>-</v>
      </c>
      <c r="I3" s="370">
        <f t="shared" ref="I3:I8" si="3">IFERROR(VLOOKUP(D3,$A$21:$I$134,6,FALSE),2.99)</f>
        <v>2.99</v>
      </c>
      <c r="J3" s="385" t="str">
        <f>'9. Weighting'!E13</f>
        <v>Pl</v>
      </c>
      <c r="K3" s="386" t="str">
        <f>'9. Weighting'!G13</f>
        <v>Please enter</v>
      </c>
      <c r="L3" s="386">
        <f>IFERROR(VLOOKUP(J3,'10. Industry'!$A$4:$P$32,16,FALSE),'3. Calc'!C104)</f>
        <v>1</v>
      </c>
      <c r="M3" s="386" t="e">
        <f>VLOOKUP(L3,'9. Weighting'!$F$49:$H$53,3,FALSE)</f>
        <v>#N/A</v>
      </c>
      <c r="N3" s="387" t="e">
        <f>M3*H3</f>
        <v>#N/A</v>
      </c>
      <c r="O3" s="386">
        <f>IFERROR(VLOOKUP(J3,'10. Industry'!$A$4:$N$32,5,FALSE),'3. Calc'!C104)</f>
        <v>1</v>
      </c>
      <c r="P3" s="386" t="e">
        <f>VLOOKUP(O3,'9. Weighting'!$F$49:$H$53,3,FALSE)</f>
        <v>#N/A</v>
      </c>
      <c r="Q3" s="388" t="e">
        <f>P3*H3</f>
        <v>#N/A</v>
      </c>
    </row>
    <row r="4" spans="1:17" ht="9.75" customHeight="1">
      <c r="A4" s="372" t="s">
        <v>225</v>
      </c>
      <c r="B4" s="632"/>
      <c r="C4" s="379">
        <f>'9. Weighting'!I14</f>
        <v>0</v>
      </c>
      <c r="D4" s="380" t="str">
        <f>'9. Weighting'!H14</f>
        <v>Please choose</v>
      </c>
      <c r="E4" s="381">
        <f t="shared" si="0"/>
        <v>0.97803586258736475</v>
      </c>
      <c r="F4" s="382">
        <f t="shared" si="1"/>
        <v>0</v>
      </c>
      <c r="G4" s="633"/>
      <c r="H4" s="384" t="str">
        <f t="shared" si="2"/>
        <v>-</v>
      </c>
      <c r="I4" s="370">
        <f t="shared" si="3"/>
        <v>2.99</v>
      </c>
      <c r="J4" s="385" t="str">
        <f>'9. Weighting'!E14</f>
        <v>Pl</v>
      </c>
      <c r="K4" s="386" t="str">
        <f>'9. Weighting'!G14</f>
        <v>Please enter</v>
      </c>
      <c r="L4" s="386">
        <f>IFERROR(VLOOKUP(J4,'10. Industry'!$A$4:$P$32,16,FALSE),'3. Calc'!C104)</f>
        <v>1</v>
      </c>
      <c r="M4" s="386" t="e">
        <f>VLOOKUP(L4,'9. Weighting'!$F$49:$H$53,3,FALSE)</f>
        <v>#N/A</v>
      </c>
      <c r="N4" s="387" t="e">
        <f>M4*H4</f>
        <v>#N/A</v>
      </c>
      <c r="O4" s="386">
        <f>IFERROR(VLOOKUP(J4,'10. Industry'!$A$4:$N$32,5,FALSE),'3. Calc'!C104)</f>
        <v>1</v>
      </c>
      <c r="P4" s="386" t="e">
        <f>VLOOKUP(O4,'9. Weighting'!$F$49:$H$53,3,FALSE)</f>
        <v>#N/A</v>
      </c>
      <c r="Q4" s="388" t="e">
        <f>P4*H4</f>
        <v>#N/A</v>
      </c>
    </row>
    <row r="5" spans="1:17" ht="9.75" customHeight="1">
      <c r="A5" s="372" t="s">
        <v>226</v>
      </c>
      <c r="B5" s="632"/>
      <c r="C5" s="379">
        <f>'9. Weighting'!I15</f>
        <v>0</v>
      </c>
      <c r="D5" s="380" t="str">
        <f>'9. Weighting'!H15</f>
        <v>Please choose</v>
      </c>
      <c r="E5" s="381">
        <f t="shared" si="0"/>
        <v>0.97803586258736475</v>
      </c>
      <c r="F5" s="382">
        <f t="shared" si="1"/>
        <v>0</v>
      </c>
      <c r="G5" s="633"/>
      <c r="H5" s="384" t="str">
        <f t="shared" si="2"/>
        <v>-</v>
      </c>
      <c r="I5" s="370">
        <f t="shared" si="3"/>
        <v>2.99</v>
      </c>
      <c r="J5" s="385" t="str">
        <f>'9. Weighting'!E15</f>
        <v>Pl</v>
      </c>
      <c r="K5" s="386" t="str">
        <f>'9. Weighting'!G15</f>
        <v>Please enter</v>
      </c>
      <c r="L5" s="386">
        <f>IFERROR(VLOOKUP(J5,'10. Industry'!$A$4:$P$32,16,FALSE),'3. Calc'!C104)</f>
        <v>1</v>
      </c>
      <c r="M5" s="386" t="e">
        <f>VLOOKUP(L5,'9. Weighting'!$F$49:$H$53,3,FALSE)</f>
        <v>#N/A</v>
      </c>
      <c r="N5" s="387" t="e">
        <f>M5*H5</f>
        <v>#N/A</v>
      </c>
      <c r="O5" s="386">
        <f>IFERROR(VLOOKUP(J5,'10. Industry'!$A$4:$N$32,5,FALSE),'3. Calc'!C104)</f>
        <v>1</v>
      </c>
      <c r="P5" s="386" t="e">
        <f>VLOOKUP(O5,'9. Weighting'!$F$49:$H$53,3,FALSE)</f>
        <v>#N/A</v>
      </c>
      <c r="Q5" s="388" t="e">
        <f>P5*H5</f>
        <v>#N/A</v>
      </c>
    </row>
    <row r="6" spans="1:17" ht="9.75" customHeight="1">
      <c r="A6" s="372" t="s">
        <v>227</v>
      </c>
      <c r="B6" s="632"/>
      <c r="C6" s="379">
        <f>'9. Weighting'!I16</f>
        <v>0</v>
      </c>
      <c r="D6" s="380" t="str">
        <f>'9. Weighting'!H16</f>
        <v>Please choose</v>
      </c>
      <c r="E6" s="381">
        <f t="shared" si="0"/>
        <v>0.97803586258736475</v>
      </c>
      <c r="F6" s="382">
        <f t="shared" si="1"/>
        <v>0</v>
      </c>
      <c r="G6" s="633"/>
      <c r="H6" s="384" t="str">
        <f t="shared" si="2"/>
        <v>-</v>
      </c>
      <c r="I6" s="370">
        <f t="shared" si="3"/>
        <v>2.99</v>
      </c>
      <c r="J6" s="385" t="str">
        <f>'9. Weighting'!E16</f>
        <v>Pl</v>
      </c>
      <c r="K6" s="386" t="str">
        <f>'9. Weighting'!G16</f>
        <v>Please enter</v>
      </c>
      <c r="L6" s="386">
        <f>IFERROR(VLOOKUP(J6,'10. Industry'!$A$4:$P$32,16,FALSE),'3. Calc'!C104)</f>
        <v>1</v>
      </c>
      <c r="M6" s="386" t="e">
        <f>VLOOKUP(L6,'9. Weighting'!$F$49:$H$53,3,FALSE)</f>
        <v>#N/A</v>
      </c>
      <c r="N6" s="387" t="e">
        <f>M6*H6</f>
        <v>#N/A</v>
      </c>
      <c r="O6" s="386">
        <f>IFERROR(VLOOKUP(J6,'10. Industry'!$A$4:$N$32,5,FALSE),'3. Calc'!C104)</f>
        <v>1</v>
      </c>
      <c r="P6" s="386" t="e">
        <f>VLOOKUP(O6,'9. Weighting'!$F$49:$H$53,3,FALSE)</f>
        <v>#N/A</v>
      </c>
      <c r="Q6" s="388" t="e">
        <f>P6*H6</f>
        <v>#N/A</v>
      </c>
    </row>
    <row r="7" spans="1:17" ht="12" customHeight="1">
      <c r="A7" s="372" t="s">
        <v>228</v>
      </c>
      <c r="B7" s="632"/>
      <c r="C7" s="379">
        <f>'9. Weighting'!I17</f>
        <v>0</v>
      </c>
      <c r="D7" s="380" t="str">
        <f>'9. Weighting'!H17</f>
        <v>Please choose</v>
      </c>
      <c r="E7" s="381">
        <f t="shared" si="0"/>
        <v>0.97803586258736475</v>
      </c>
      <c r="F7" s="382">
        <f t="shared" si="1"/>
        <v>0</v>
      </c>
      <c r="G7" s="633"/>
      <c r="H7" s="384" t="str">
        <f t="shared" si="2"/>
        <v>-</v>
      </c>
      <c r="I7" s="370">
        <f t="shared" si="3"/>
        <v>2.99</v>
      </c>
      <c r="J7" s="385" t="str">
        <f>'9. Weighting'!E17</f>
        <v>Pl</v>
      </c>
      <c r="K7" s="386" t="str">
        <f>'9. Weighting'!G17</f>
        <v>Please enter</v>
      </c>
      <c r="L7" s="386">
        <f>IFERROR(VLOOKUP(J7,'10. Industry'!$A$4:$P$32,16,FALSE),'3. Calc'!C104)</f>
        <v>1</v>
      </c>
      <c r="M7" s="386" t="e">
        <f>VLOOKUP(L7,'9. Weighting'!$F$49:$H$53,3,FALSE)</f>
        <v>#N/A</v>
      </c>
      <c r="N7" s="387" t="e">
        <f>M7*H7</f>
        <v>#N/A</v>
      </c>
      <c r="O7" s="386">
        <f>IFERROR(VLOOKUP(J7,'10. Industry'!$A$4:$N$32,5,FALSE),'3. Calc'!C104)</f>
        <v>1</v>
      </c>
      <c r="P7" s="386" t="e">
        <f>VLOOKUP(O7,'9. Weighting'!$F$49:$H$53,3,FALSE)</f>
        <v>#N/A</v>
      </c>
      <c r="Q7" s="388" t="e">
        <f>P7*H7</f>
        <v>#N/A</v>
      </c>
    </row>
    <row r="8" spans="1:17" ht="17.100000000000001" customHeight="1">
      <c r="A8" s="389" t="s">
        <v>229</v>
      </c>
      <c r="B8" s="632"/>
      <c r="C8" s="390">
        <f>'9. Weighting'!I18</f>
        <v>0</v>
      </c>
      <c r="D8" s="391" t="str">
        <f>'9. Weighting'!H18</f>
        <v>Please choose</v>
      </c>
      <c r="E8" s="381">
        <f t="shared" si="0"/>
        <v>0.97803586258736475</v>
      </c>
      <c r="F8" s="383">
        <f t="shared" si="1"/>
        <v>0</v>
      </c>
      <c r="G8" s="633"/>
      <c r="H8" s="384" t="str">
        <f t="shared" si="2"/>
        <v>-</v>
      </c>
      <c r="I8" s="370">
        <f t="shared" si="3"/>
        <v>2.99</v>
      </c>
      <c r="J8" s="634" t="s">
        <v>230</v>
      </c>
      <c r="K8" s="634"/>
      <c r="L8" s="634"/>
      <c r="M8" s="634"/>
      <c r="N8" s="392">
        <f>IFERROR((SUM(N3:N7)*1)/SUM(H3:H7),1)</f>
        <v>1</v>
      </c>
      <c r="O8" s="393"/>
      <c r="P8" s="393"/>
      <c r="Q8" s="392">
        <f>IFERROR((SUM(Q3:Q7)*1)/SUM(H3:H7),1)</f>
        <v>1</v>
      </c>
    </row>
    <row r="9" spans="1:17" ht="11.1" customHeight="1">
      <c r="A9" s="394"/>
      <c r="B9" s="395"/>
      <c r="C9" s="395"/>
      <c r="D9" s="395"/>
      <c r="E9" s="396"/>
      <c r="F9" s="395"/>
      <c r="G9" s="395"/>
      <c r="H9" s="384"/>
      <c r="I9" s="397">
        <f>IFERROR(I3*H3+I4*H4+I5*H5+I6*H6+I7*H7+I8*H8,I21)</f>
        <v>0</v>
      </c>
    </row>
    <row r="10" spans="1:17" ht="11.1" customHeight="1">
      <c r="A10" s="398" t="s">
        <v>231</v>
      </c>
      <c r="B10" s="399">
        <f>'9. Weighting'!I25</f>
        <v>0</v>
      </c>
      <c r="C10" s="400">
        <f>'2. Company Facts'!D30</f>
        <v>0</v>
      </c>
      <c r="D10" s="401" t="str">
        <f>'2. Company Facts'!B30</f>
        <v>Please choose</v>
      </c>
      <c r="E10" s="381">
        <f>IFERROR(VLOOKUP(D10,$A$22:$G$400,3,FALSE),$C$243)</f>
        <v>0.97803586258736475</v>
      </c>
      <c r="F10" s="402">
        <f>C10*E10*B10</f>
        <v>0</v>
      </c>
      <c r="G10" s="402">
        <f>F10+F11+F12+F13</f>
        <v>0</v>
      </c>
      <c r="H10" s="403">
        <f>SUM(H3:H8)</f>
        <v>0</v>
      </c>
      <c r="I10" s="370">
        <f>IFERROR(VLOOKUP(D10,$A$21:$I$134,6,FALSE),I28)</f>
        <v>0</v>
      </c>
    </row>
    <row r="11" spans="1:17" ht="9.75" customHeight="1">
      <c r="A11" s="404"/>
      <c r="B11" s="405"/>
      <c r="C11" s="400">
        <f>'2. Company Facts'!D31</f>
        <v>0</v>
      </c>
      <c r="D11" s="401" t="str">
        <f>'2. Company Facts'!B31</f>
        <v>Please choose</v>
      </c>
      <c r="E11" s="381">
        <f>IFERROR(VLOOKUP(D11,$A$22:$G$400,3,FALSE),$C$243)</f>
        <v>0.97803586258736475</v>
      </c>
      <c r="F11" s="402">
        <f>C11*E11*B10</f>
        <v>0</v>
      </c>
      <c r="G11" s="395"/>
      <c r="H11" s="403"/>
      <c r="I11" s="370">
        <f>IFERROR(VLOOKUP(D11,$A$21:$I$134,6,FALSE),I29)</f>
        <v>0</v>
      </c>
    </row>
    <row r="12" spans="1:17" ht="9.75" customHeight="1">
      <c r="A12" s="404"/>
      <c r="B12" s="405"/>
      <c r="C12" s="400">
        <f>'2. Company Facts'!D32</f>
        <v>0</v>
      </c>
      <c r="D12" s="401" t="str">
        <f>'2. Company Facts'!B32</f>
        <v>Please choose</v>
      </c>
      <c r="E12" s="381">
        <f>IFERROR(VLOOKUP(D12,$A$22:$G$400,3,FALSE),$C$243)</f>
        <v>0.97803586258736475</v>
      </c>
      <c r="F12" s="402">
        <f>C12*E12*B10</f>
        <v>0</v>
      </c>
      <c r="G12" s="395"/>
      <c r="H12" s="403"/>
      <c r="I12" s="370">
        <f>IFERROR(VLOOKUP(D12,$A$21:$I$134,6,FALSE),I30)</f>
        <v>0</v>
      </c>
    </row>
    <row r="13" spans="1:17" ht="9.75" customHeight="1">
      <c r="A13" s="404"/>
      <c r="B13" s="405"/>
      <c r="C13" s="406">
        <f>1-C10-C11-C12</f>
        <v>1</v>
      </c>
      <c r="D13" s="405" t="str">
        <f>A21</f>
        <v>Country Code</v>
      </c>
      <c r="E13" s="381">
        <f>IFERROR(VLOOKUP(D13,$A$22:$G$400,3,FALSE),$C$243)</f>
        <v>0.97803586258736475</v>
      </c>
      <c r="F13" s="402">
        <f>C13*E13*B10</f>
        <v>0</v>
      </c>
      <c r="G13" s="395"/>
      <c r="H13" s="403"/>
      <c r="I13" s="370">
        <f>IFERROR(VLOOKUP(D13,$A$21:$I$134,9,FALSE),"0")</f>
        <v>0</v>
      </c>
    </row>
    <row r="14" spans="1:17" ht="9.75" customHeight="1">
      <c r="A14" s="370" t="s">
        <v>232</v>
      </c>
      <c r="I14" s="407">
        <f>I10*C10+I11*C11+I12*C12+I13*C13</f>
        <v>0</v>
      </c>
    </row>
    <row r="17" spans="1:10" ht="25.5" customHeight="1">
      <c r="A17" s="408" t="s">
        <v>233</v>
      </c>
      <c r="B17" s="408"/>
      <c r="C17" s="408"/>
      <c r="D17" s="408"/>
      <c r="E17" s="408"/>
      <c r="F17" s="408"/>
      <c r="G17" s="408"/>
      <c r="H17" s="408"/>
    </row>
    <row r="18" spans="1:10" ht="9.75" customHeight="1">
      <c r="A18" s="409" t="s">
        <v>234</v>
      </c>
      <c r="B18" s="409" t="s">
        <v>235</v>
      </c>
      <c r="C18" s="409"/>
      <c r="D18" s="409"/>
      <c r="E18" s="409"/>
      <c r="F18" s="409"/>
      <c r="G18" s="409"/>
      <c r="H18" s="410"/>
    </row>
    <row r="19" spans="1:10" ht="9.75" customHeight="1">
      <c r="A19" s="409" t="s">
        <v>236</v>
      </c>
      <c r="B19" s="411" t="s">
        <v>237</v>
      </c>
      <c r="C19" s="411"/>
      <c r="D19" s="409"/>
      <c r="E19" s="412" t="s">
        <v>238</v>
      </c>
      <c r="F19" s="413"/>
      <c r="G19" s="409"/>
      <c r="H19" s="410" t="s">
        <v>239</v>
      </c>
    </row>
    <row r="20" spans="1:10" ht="9.75" customHeight="1">
      <c r="A20" s="409"/>
      <c r="B20" s="409"/>
      <c r="C20" s="409"/>
      <c r="D20" s="409"/>
      <c r="E20" s="409"/>
      <c r="F20" s="409"/>
      <c r="G20" s="409"/>
      <c r="H20" s="410"/>
    </row>
    <row r="21" spans="1:10" ht="9.75" customHeight="1">
      <c r="A21" s="414" t="s">
        <v>240</v>
      </c>
      <c r="B21" s="414" t="s">
        <v>241</v>
      </c>
      <c r="C21" s="415" t="s">
        <v>3193</v>
      </c>
      <c r="D21" s="415"/>
      <c r="E21" s="414" t="s">
        <v>113</v>
      </c>
      <c r="F21" s="415" t="s">
        <v>3194</v>
      </c>
      <c r="G21" s="416"/>
      <c r="H21" s="417"/>
      <c r="I21" s="418"/>
      <c r="J21" s="418" t="s">
        <v>242</v>
      </c>
    </row>
    <row r="22" spans="1:10" ht="9.75" customHeight="1">
      <c r="A22" s="416" t="str">
        <f>'12.lan'!D339</f>
        <v xml:space="preserve">ABW Aruba </v>
      </c>
      <c r="B22" s="416" t="s">
        <v>243</v>
      </c>
      <c r="C22" s="419">
        <f>VLOOKUP(B22,'12.ppp data'!$C$3:$J$273,7,FALSE)</f>
        <v>1.9628994497935313</v>
      </c>
      <c r="D22" s="419" t="str">
        <f>IF(VLOOKUP(B22,'12.ppp data'!$C$3:$J$273,8,FALSE)="est","est","-")</f>
        <v>est</v>
      </c>
      <c r="E22" s="416" t="s">
        <v>245</v>
      </c>
      <c r="F22" s="419">
        <v>3.4210526315789473</v>
      </c>
      <c r="G22" s="419" t="s">
        <v>244</v>
      </c>
      <c r="H22" s="371"/>
      <c r="I22" s="418"/>
      <c r="J22" s="416" t="s">
        <v>246</v>
      </c>
    </row>
    <row r="23" spans="1:10" ht="9.75" customHeight="1">
      <c r="A23" s="416" t="str">
        <f>'12.lan'!D340</f>
        <v xml:space="preserve">AFG Afghanistan </v>
      </c>
      <c r="B23" s="416" t="s">
        <v>247</v>
      </c>
      <c r="C23" s="419">
        <f>VLOOKUP(B23,'12.ppp data'!$C$3:$J$273,7,FALSE)</f>
        <v>3.7763264165136152</v>
      </c>
      <c r="D23" s="419" t="str">
        <f>IF(VLOOKUP(B23,'12.ppp data'!$C$3:$J$273,8,FALSE)="est","est","-")</f>
        <v>-</v>
      </c>
      <c r="E23" s="416" t="s">
        <v>248</v>
      </c>
      <c r="F23" s="419">
        <v>4.1785714285714288</v>
      </c>
      <c r="G23" s="419" t="s">
        <v>244</v>
      </c>
      <c r="H23" s="371"/>
      <c r="I23" s="418"/>
      <c r="J23" s="416" t="s">
        <v>249</v>
      </c>
    </row>
    <row r="24" spans="1:10" ht="9.75" customHeight="1">
      <c r="A24" s="416" t="str">
        <f>'12.lan'!D341</f>
        <v xml:space="preserve">AGO Angola </v>
      </c>
      <c r="B24" s="416" t="s">
        <v>250</v>
      </c>
      <c r="C24" s="419">
        <f>VLOOKUP(B24,'12.ppp data'!$C$3:$J$273,7,FALSE)</f>
        <v>1.7217817922468739</v>
      </c>
      <c r="D24" s="419" t="str">
        <f>IF(VLOOKUP(B24,'12.ppp data'!$C$3:$J$273,8,FALSE)="est","est","-")</f>
        <v>-</v>
      </c>
      <c r="E24" s="416" t="s">
        <v>251</v>
      </c>
      <c r="F24" s="419">
        <v>2</v>
      </c>
      <c r="G24" s="419"/>
      <c r="H24" s="417"/>
      <c r="I24" s="418"/>
      <c r="J24" s="416" t="s">
        <v>252</v>
      </c>
    </row>
    <row r="25" spans="1:10" ht="9.75" customHeight="1">
      <c r="A25" s="416" t="str">
        <f>'12.lan'!D342</f>
        <v xml:space="preserve">ALB Albania </v>
      </c>
      <c r="B25" s="416" t="s">
        <v>253</v>
      </c>
      <c r="C25" s="419">
        <f>VLOOKUP(B25,'12.ppp data'!$C$3:$J$273,7,FALSE)</f>
        <v>2.9566126666919685</v>
      </c>
      <c r="D25" s="419" t="str">
        <f>IF(VLOOKUP(B25,'12.ppp data'!$C$3:$J$273,8,FALSE)="est","est","-")</f>
        <v>-</v>
      </c>
      <c r="E25" s="416" t="s">
        <v>254</v>
      </c>
      <c r="F25" s="419">
        <v>2</v>
      </c>
      <c r="G25" s="419"/>
      <c r="H25" s="420"/>
      <c r="I25" s="418"/>
      <c r="J25" s="416" t="s">
        <v>255</v>
      </c>
    </row>
    <row r="26" spans="1:10" ht="9.75" customHeight="1">
      <c r="A26" s="416" t="str">
        <f>'12.lan'!D343</f>
        <v xml:space="preserve">AND Andorra </v>
      </c>
      <c r="B26" s="416" t="s">
        <v>256</v>
      </c>
      <c r="C26" s="419">
        <f>VLOOKUP(B26,'12.ppp data'!$C$3:$J$273,7,FALSE)</f>
        <v>1.9328616451977572</v>
      </c>
      <c r="D26" s="419" t="str">
        <f>IF(VLOOKUP(B26,'12.ppp data'!$C$3:$J$273,8,FALSE)="est","est","-")</f>
        <v>est</v>
      </c>
      <c r="E26" s="416" t="s">
        <v>254</v>
      </c>
      <c r="F26" s="419">
        <v>2</v>
      </c>
      <c r="G26" s="419" t="s">
        <v>244</v>
      </c>
      <c r="H26" s="421"/>
      <c r="I26" s="418"/>
      <c r="J26" s="416" t="s">
        <v>257</v>
      </c>
    </row>
    <row r="27" spans="1:10" ht="9.75" customHeight="1">
      <c r="A27" s="416" t="str">
        <f>'12.lan'!D344</f>
        <v xml:space="preserve">ARE United Arab Emirates </v>
      </c>
      <c r="B27" s="416" t="s">
        <v>258</v>
      </c>
      <c r="C27" s="419">
        <f>VLOOKUP(B27,'12.ppp data'!$C$3:$J$273,7,FALSE)</f>
        <v>2.0501080313559403</v>
      </c>
      <c r="D27" s="419" t="str">
        <f>IF(VLOOKUP(B27,'12.ppp data'!$C$3:$J$273,8,FALSE)="est","est","-")</f>
        <v>-</v>
      </c>
      <c r="E27" s="416" t="s">
        <v>248</v>
      </c>
      <c r="F27" s="419">
        <v>5</v>
      </c>
      <c r="G27" s="419"/>
      <c r="H27" s="421"/>
      <c r="I27" s="418"/>
      <c r="J27" s="416" t="s">
        <v>259</v>
      </c>
    </row>
    <row r="28" spans="1:10" ht="9.75" customHeight="1">
      <c r="A28" s="416" t="str">
        <f>'12.lan'!D345</f>
        <v xml:space="preserve">ARG Argentina </v>
      </c>
      <c r="B28" s="416" t="s">
        <v>260</v>
      </c>
      <c r="C28" s="419">
        <f>VLOOKUP(B28,'12.ppp data'!$C$3:$J$273,7,FALSE)</f>
        <v>1.6274705907178522</v>
      </c>
      <c r="D28" s="419" t="str">
        <f>IF(VLOOKUP(B28,'12.ppp data'!$C$3:$J$273,8,FALSE)="est","est","-")</f>
        <v>-</v>
      </c>
      <c r="E28" s="416" t="s">
        <v>245</v>
      </c>
      <c r="F28" s="419">
        <v>4</v>
      </c>
      <c r="G28" s="419"/>
      <c r="H28" s="420"/>
      <c r="J28" s="416" t="s">
        <v>261</v>
      </c>
    </row>
    <row r="29" spans="1:10" ht="9.75" customHeight="1">
      <c r="A29" s="416" t="str">
        <f>'12.lan'!D346</f>
        <v xml:space="preserve">ARM Armenia </v>
      </c>
      <c r="B29" s="416" t="s">
        <v>262</v>
      </c>
      <c r="C29" s="419">
        <f>VLOOKUP(B29,'12.ppp data'!$C$3:$J$273,7,FALSE)</f>
        <v>2.6723673375423806</v>
      </c>
      <c r="D29" s="419" t="str">
        <f>IF(VLOOKUP(B29,'12.ppp data'!$C$3:$J$273,8,FALSE)="est","est","-")</f>
        <v>-</v>
      </c>
      <c r="E29" s="416" t="s">
        <v>248</v>
      </c>
      <c r="F29" s="419">
        <v>4.1785714285714288</v>
      </c>
      <c r="G29" s="419" t="s">
        <v>244</v>
      </c>
      <c r="H29" s="420"/>
      <c r="J29" s="416" t="s">
        <v>263</v>
      </c>
    </row>
    <row r="30" spans="1:10" ht="9.75" customHeight="1">
      <c r="A30" s="416" t="str">
        <f>'12.lan'!D347</f>
        <v xml:space="preserve">ASM American Samoa </v>
      </c>
      <c r="B30" s="416" t="s">
        <v>264</v>
      </c>
      <c r="C30" s="419">
        <f>VLOOKUP(B30,'12.ppp data'!$C$3:$J$273,7,FALSE)</f>
        <v>1.3563308370936336</v>
      </c>
      <c r="D30" s="419" t="str">
        <f>IF(VLOOKUP(B30,'12.ppp data'!$C$3:$J$273,8,FALSE)="est","est","-")</f>
        <v>est</v>
      </c>
      <c r="E30" s="416" t="s">
        <v>265</v>
      </c>
      <c r="F30" s="419">
        <v>3</v>
      </c>
      <c r="G30" s="419"/>
      <c r="H30" s="420"/>
      <c r="J30" s="416" t="s">
        <v>266</v>
      </c>
    </row>
    <row r="31" spans="1:10" ht="9.75" customHeight="1">
      <c r="A31" s="416" t="str">
        <f>'12.lan'!D348</f>
        <v xml:space="preserve">ATG Antigua and Barbuda </v>
      </c>
      <c r="B31" s="416" t="s">
        <v>267</v>
      </c>
      <c r="C31" s="419">
        <f>VLOOKUP(B31,'12.ppp data'!$C$3:$J$273,7,FALSE)</f>
        <v>1.7740364576924315</v>
      </c>
      <c r="D31" s="419" t="str">
        <f>IF(VLOOKUP(B31,'12.ppp data'!$C$3:$J$273,8,FALSE)="est","est","-")</f>
        <v>-</v>
      </c>
      <c r="E31" s="416" t="s">
        <v>245</v>
      </c>
      <c r="F31" s="419">
        <v>3.4210526315789473</v>
      </c>
      <c r="G31" s="419" t="s">
        <v>244</v>
      </c>
      <c r="H31" s="420"/>
      <c r="J31" s="416" t="s">
        <v>268</v>
      </c>
    </row>
    <row r="32" spans="1:10" ht="9.75" customHeight="1">
      <c r="A32" s="416" t="str">
        <f>'12.lan'!D349</f>
        <v xml:space="preserve">AUS Australia </v>
      </c>
      <c r="B32" s="416" t="s">
        <v>269</v>
      </c>
      <c r="C32" s="419">
        <f>VLOOKUP(B32,'12.ppp data'!$C$3:$J$273,7,FALSE)</f>
        <v>0.97205158284555404</v>
      </c>
      <c r="D32" s="419" t="str">
        <f>IF(VLOOKUP(B32,'12.ppp data'!$C$3:$J$273,8,FALSE)="est","est","-")</f>
        <v>-</v>
      </c>
      <c r="E32" s="416" t="s">
        <v>265</v>
      </c>
      <c r="F32" s="419">
        <v>3</v>
      </c>
      <c r="G32" s="419" t="s">
        <v>244</v>
      </c>
      <c r="H32" s="420"/>
      <c r="J32" s="416" t="s">
        <v>270</v>
      </c>
    </row>
    <row r="33" spans="1:10" ht="9.75" customHeight="1">
      <c r="A33" s="416" t="str">
        <f>'12.lan'!D350</f>
        <v xml:space="preserve">AUT Austria </v>
      </c>
      <c r="B33" s="416" t="s">
        <v>271</v>
      </c>
      <c r="C33" s="419">
        <f>VLOOKUP(B33,'12.ppp data'!$C$3:$J$273,7,FALSE)</f>
        <v>1.252387363411503</v>
      </c>
      <c r="D33" s="419" t="str">
        <f>IF(VLOOKUP(B33,'12.ppp data'!$C$3:$J$273,8,FALSE)="est","est","-")</f>
        <v>-</v>
      </c>
      <c r="E33" s="416" t="s">
        <v>254</v>
      </c>
      <c r="F33" s="419">
        <v>1</v>
      </c>
      <c r="G33" s="419"/>
      <c r="H33" s="420"/>
      <c r="J33" s="416" t="s">
        <v>272</v>
      </c>
    </row>
    <row r="34" spans="1:10" ht="9.75" customHeight="1">
      <c r="A34" s="416" t="str">
        <f>'12.lan'!D351</f>
        <v xml:space="preserve">AZE Azerbaijan </v>
      </c>
      <c r="B34" s="416" t="s">
        <v>273</v>
      </c>
      <c r="C34" s="419">
        <f>VLOOKUP(B34,'12.ppp data'!$C$3:$J$273,7,FALSE)</f>
        <v>4.7310309171486411</v>
      </c>
      <c r="D34" s="419" t="str">
        <f>IF(VLOOKUP(B34,'12.ppp data'!$C$3:$J$273,8,FALSE)="est","est","-")</f>
        <v>-</v>
      </c>
      <c r="E34" s="416" t="s">
        <v>248</v>
      </c>
      <c r="F34" s="419">
        <v>4.1785714285714288</v>
      </c>
      <c r="G34" s="419" t="s">
        <v>244</v>
      </c>
      <c r="H34" s="420"/>
      <c r="J34" s="416" t="s">
        <v>274</v>
      </c>
    </row>
    <row r="35" spans="1:10" ht="9.75" customHeight="1">
      <c r="A35" s="416" t="str">
        <f>'12.lan'!D352</f>
        <v xml:space="preserve">BDI Burundi </v>
      </c>
      <c r="B35" s="416" t="s">
        <v>275</v>
      </c>
      <c r="C35" s="419">
        <f>VLOOKUP(B35,'12.ppp data'!$C$3:$J$273,7,FALSE)</f>
        <v>2.6736725667356298</v>
      </c>
      <c r="D35" s="419" t="str">
        <f>IF(VLOOKUP(B35,'12.ppp data'!$C$3:$J$273,8,FALSE)="est","est","-")</f>
        <v>-</v>
      </c>
      <c r="E35" s="416" t="s">
        <v>251</v>
      </c>
      <c r="F35" s="419">
        <v>3.7083333333333335</v>
      </c>
      <c r="G35" s="419" t="s">
        <v>244</v>
      </c>
      <c r="H35" s="420"/>
      <c r="J35" s="416" t="s">
        <v>276</v>
      </c>
    </row>
    <row r="36" spans="1:10" ht="9.75" customHeight="1">
      <c r="A36" s="416" t="str">
        <f>'12.lan'!D353</f>
        <v xml:space="preserve">BEL Belgium </v>
      </c>
      <c r="B36" s="416" t="s">
        <v>277</v>
      </c>
      <c r="C36" s="419">
        <f>VLOOKUP(B36,'12.ppp data'!$C$3:$J$273,7,FALSE)</f>
        <v>1.2371047295750917</v>
      </c>
      <c r="D36" s="419" t="str">
        <f>IF(VLOOKUP(B36,'12.ppp data'!$C$3:$J$273,8,FALSE)="est","est","-")</f>
        <v>-</v>
      </c>
      <c r="E36" s="416" t="s">
        <v>254</v>
      </c>
      <c r="F36" s="419">
        <v>1</v>
      </c>
      <c r="G36" s="419"/>
      <c r="H36" s="371"/>
      <c r="J36" s="416" t="s">
        <v>278</v>
      </c>
    </row>
    <row r="37" spans="1:10" ht="9.75" customHeight="1">
      <c r="A37" s="416" t="str">
        <f>'12.lan'!D354</f>
        <v xml:space="preserve">BEN Benin </v>
      </c>
      <c r="B37" s="416" t="s">
        <v>279</v>
      </c>
      <c r="C37" s="419">
        <f>VLOOKUP(B37,'12.ppp data'!$C$3:$J$273,7,FALSE)</f>
        <v>3.0882926553539054</v>
      </c>
      <c r="D37" s="419" t="str">
        <f>IF(VLOOKUP(B37,'12.ppp data'!$C$3:$J$273,8,FALSE)="est","est","-")</f>
        <v>-</v>
      </c>
      <c r="E37" s="416" t="s">
        <v>251</v>
      </c>
      <c r="F37" s="419">
        <v>3.7083333333333335</v>
      </c>
      <c r="G37" s="419" t="s">
        <v>244</v>
      </c>
      <c r="H37" s="371"/>
      <c r="J37" s="416" t="s">
        <v>280</v>
      </c>
    </row>
    <row r="38" spans="1:10" ht="9.75" customHeight="1">
      <c r="A38" s="416" t="str">
        <f>'12.lan'!D355</f>
        <v xml:space="preserve">BFA Burkina Faso </v>
      </c>
      <c r="B38" s="416" t="s">
        <v>281</v>
      </c>
      <c r="C38" s="419">
        <f>VLOOKUP(B38,'12.ppp data'!$C$3:$J$273,7,FALSE)</f>
        <v>3.1441203989430693</v>
      </c>
      <c r="D38" s="419" t="str">
        <f>IF(VLOOKUP(B38,'12.ppp data'!$C$3:$J$273,8,FALSE)="est","est","-")</f>
        <v>-</v>
      </c>
      <c r="E38" s="416" t="s">
        <v>251</v>
      </c>
      <c r="F38" s="419">
        <v>3.7083333333333335</v>
      </c>
      <c r="G38" s="419" t="s">
        <v>244</v>
      </c>
      <c r="H38" s="371"/>
      <c r="J38" s="416" t="s">
        <v>282</v>
      </c>
    </row>
    <row r="39" spans="1:10" ht="9.75" customHeight="1">
      <c r="A39" s="416" t="str">
        <f>'12.lan'!D356</f>
        <v xml:space="preserve">BGD Bangladesh </v>
      </c>
      <c r="B39" s="416" t="s">
        <v>283</v>
      </c>
      <c r="C39" s="419">
        <f>VLOOKUP(B39,'12.ppp data'!$C$3:$J$273,7,FALSE)</f>
        <v>2.911298949024506</v>
      </c>
      <c r="D39" s="419" t="str">
        <f>IF(VLOOKUP(B39,'12.ppp data'!$C$3:$J$273,8,FALSE)="est","est","-")</f>
        <v>-</v>
      </c>
      <c r="E39" s="416" t="s">
        <v>248</v>
      </c>
      <c r="F39" s="419">
        <v>5</v>
      </c>
      <c r="G39" s="419"/>
      <c r="H39" s="371"/>
      <c r="J39" s="416" t="s">
        <v>284</v>
      </c>
    </row>
    <row r="40" spans="1:10" ht="9.75" customHeight="1">
      <c r="A40" s="416" t="str">
        <f>'12.lan'!D357</f>
        <v xml:space="preserve">BGR Bulgaria </v>
      </c>
      <c r="B40" s="416" t="s">
        <v>285</v>
      </c>
      <c r="C40" s="419">
        <f>VLOOKUP(B40,'12.ppp data'!$C$3:$J$273,7,FALSE)</f>
        <v>2.8473179290648658</v>
      </c>
      <c r="D40" s="419" t="str">
        <f>IF(VLOOKUP(B40,'12.ppp data'!$C$3:$J$273,8,FALSE)="est","est","-")</f>
        <v>-</v>
      </c>
      <c r="E40" s="416" t="s">
        <v>254</v>
      </c>
      <c r="F40" s="419">
        <v>3</v>
      </c>
      <c r="G40" s="419"/>
      <c r="H40" s="371"/>
      <c r="J40" s="416" t="s">
        <v>286</v>
      </c>
    </row>
    <row r="41" spans="1:10" ht="9.75" customHeight="1">
      <c r="A41" s="416" t="str">
        <f>'12.lan'!D358</f>
        <v xml:space="preserve">BHR Bahrain </v>
      </c>
      <c r="B41" s="416" t="s">
        <v>287</v>
      </c>
      <c r="C41" s="419">
        <f>VLOOKUP(B41,'12.ppp data'!$C$3:$J$273,7,FALSE)</f>
        <v>2.2575642821440924</v>
      </c>
      <c r="D41" s="419" t="str">
        <f>IF(VLOOKUP(B41,'12.ppp data'!$C$3:$J$273,8,FALSE)="est","est","-")</f>
        <v>-</v>
      </c>
      <c r="E41" s="416" t="s">
        <v>248</v>
      </c>
      <c r="F41" s="419">
        <v>4</v>
      </c>
      <c r="G41" s="419"/>
      <c r="H41" s="371"/>
      <c r="J41" s="416" t="s">
        <v>288</v>
      </c>
    </row>
    <row r="42" spans="1:10" ht="9.75" customHeight="1">
      <c r="A42" s="416" t="str">
        <f>'12.lan'!D359</f>
        <v xml:space="preserve">BHS Bahamas </v>
      </c>
      <c r="B42" s="416" t="s">
        <v>289</v>
      </c>
      <c r="C42" s="419">
        <f>VLOOKUP(B42,'12.ppp data'!$C$3:$J$273,7,FALSE)</f>
        <v>1.117305709261889</v>
      </c>
      <c r="D42" s="419" t="str">
        <f>IF(VLOOKUP(B42,'12.ppp data'!$C$3:$J$273,8,FALSE)="est","est","-")</f>
        <v>-</v>
      </c>
      <c r="E42" s="416" t="s">
        <v>245</v>
      </c>
      <c r="F42" s="419">
        <v>3.4210526315789473</v>
      </c>
      <c r="G42" s="419" t="s">
        <v>244</v>
      </c>
      <c r="H42" s="371"/>
      <c r="J42" s="416" t="s">
        <v>290</v>
      </c>
    </row>
    <row r="43" spans="1:10" ht="9.75" customHeight="1">
      <c r="A43" s="416" t="str">
        <f>'12.lan'!D360</f>
        <v xml:space="preserve">BIH Bosnia and Herzegovina </v>
      </c>
      <c r="B43" s="416" t="s">
        <v>291</v>
      </c>
      <c r="C43" s="419">
        <f>VLOOKUP(B43,'12.ppp data'!$C$3:$J$273,7,FALSE)</f>
        <v>2.8020129057999972</v>
      </c>
      <c r="D43" s="419" t="str">
        <f>IF(VLOOKUP(B43,'12.ppp data'!$C$3:$J$273,8,FALSE)="est","est","-")</f>
        <v>-</v>
      </c>
      <c r="E43" s="416" t="s">
        <v>254</v>
      </c>
      <c r="F43" s="419">
        <v>2</v>
      </c>
      <c r="G43" s="419"/>
      <c r="H43" s="371"/>
      <c r="J43" s="416" t="s">
        <v>292</v>
      </c>
    </row>
    <row r="44" spans="1:10" ht="9.75" customHeight="1">
      <c r="A44" s="416" t="str">
        <f>'12.lan'!D361</f>
        <v xml:space="preserve">BLR Belarus </v>
      </c>
      <c r="B44" s="416" t="s">
        <v>293</v>
      </c>
      <c r="C44" s="419">
        <f>VLOOKUP(B44,'12.ppp data'!$C$3:$J$273,7,FALSE)</f>
        <v>3.8046141829507074</v>
      </c>
      <c r="D44" s="419" t="str">
        <f>IF(VLOOKUP(B44,'12.ppp data'!$C$3:$J$273,8,FALSE)="est","est","-")</f>
        <v>-</v>
      </c>
      <c r="E44" s="416" t="s">
        <v>254</v>
      </c>
      <c r="F44" s="419">
        <v>5</v>
      </c>
      <c r="G44" s="419"/>
      <c r="H44" s="371"/>
      <c r="J44" s="416" t="s">
        <v>294</v>
      </c>
    </row>
    <row r="45" spans="1:10" ht="9.75" customHeight="1">
      <c r="A45" s="416" t="str">
        <f>'12.lan'!D362</f>
        <v xml:space="preserve">BLZ Belize </v>
      </c>
      <c r="B45" s="416" t="s">
        <v>295</v>
      </c>
      <c r="C45" s="419">
        <f>VLOOKUP(B45,'12.ppp data'!$C$3:$J$273,7,FALSE)</f>
        <v>1.9778456107043767</v>
      </c>
      <c r="D45" s="419" t="str">
        <f>IF(VLOOKUP(B45,'12.ppp data'!$C$3:$J$273,8,FALSE)="est","est","-")</f>
        <v>-</v>
      </c>
      <c r="E45" s="416" t="s">
        <v>245</v>
      </c>
      <c r="F45" s="419">
        <v>3.4210526315789473</v>
      </c>
      <c r="G45" s="419" t="s">
        <v>244</v>
      </c>
      <c r="H45" s="371"/>
      <c r="J45" s="416" t="s">
        <v>296</v>
      </c>
    </row>
    <row r="46" spans="1:10" ht="9.75" customHeight="1">
      <c r="A46" s="416" t="str">
        <f>'12.lan'!D363</f>
        <v xml:space="preserve">BMU Bermuda </v>
      </c>
      <c r="B46" s="416" t="s">
        <v>297</v>
      </c>
      <c r="C46" s="419">
        <f>VLOOKUP(B46,'12.ppp data'!$C$3:$J$273,7,FALSE)</f>
        <v>1.9628994497935313</v>
      </c>
      <c r="D46" s="419" t="str">
        <f>IF(VLOOKUP(B46,'12.ppp data'!$C$3:$J$273,8,FALSE)="est","est","-")</f>
        <v>est</v>
      </c>
      <c r="E46" s="416" t="s">
        <v>245</v>
      </c>
      <c r="F46" s="419">
        <v>3.4210526315789473</v>
      </c>
      <c r="G46" s="419" t="s">
        <v>244</v>
      </c>
      <c r="H46" s="371"/>
      <c r="J46" s="416" t="s">
        <v>298</v>
      </c>
    </row>
    <row r="47" spans="1:10" ht="9.75" customHeight="1">
      <c r="A47" s="416" t="str">
        <f>'12.lan'!D364</f>
        <v xml:space="preserve">BOL Bolivia, Plurinational State of </v>
      </c>
      <c r="B47" s="416" t="s">
        <v>299</v>
      </c>
      <c r="C47" s="419">
        <f>VLOOKUP(B47,'12.ppp data'!$C$3:$J$273,7,FALSE)</f>
        <v>2.4675622866480187</v>
      </c>
      <c r="D47" s="419" t="str">
        <f>IF(VLOOKUP(B47,'12.ppp data'!$C$3:$J$273,8,FALSE)="est","est","-")</f>
        <v>-</v>
      </c>
      <c r="E47" s="416" t="s">
        <v>245</v>
      </c>
      <c r="F47" s="419">
        <v>3</v>
      </c>
      <c r="G47" s="419"/>
      <c r="H47" s="371"/>
      <c r="J47" s="416" t="s">
        <v>300</v>
      </c>
    </row>
    <row r="48" spans="1:10" ht="9.75" customHeight="1">
      <c r="A48" s="416" t="str">
        <f>'12.lan'!D365</f>
        <v xml:space="preserve">BRA Brazil </v>
      </c>
      <c r="B48" s="416" t="s">
        <v>301</v>
      </c>
      <c r="C48" s="419">
        <f>VLOOKUP(B48,'12.ppp data'!$C$3:$J$273,7,FALSE)</f>
        <v>1.7802721126230918</v>
      </c>
      <c r="D48" s="419" t="str">
        <f>IF(VLOOKUP(B48,'12.ppp data'!$C$3:$J$273,8,FALSE)="est","est","-")</f>
        <v>-</v>
      </c>
      <c r="E48" s="416" t="s">
        <v>245</v>
      </c>
      <c r="F48" s="419">
        <v>3</v>
      </c>
      <c r="G48" s="419"/>
      <c r="H48" s="371"/>
      <c r="J48" s="416" t="s">
        <v>302</v>
      </c>
    </row>
    <row r="49" spans="1:10" ht="9.75" customHeight="1">
      <c r="A49" s="416" t="str">
        <f>'12.lan'!D366</f>
        <v xml:space="preserve">BRB Barbados </v>
      </c>
      <c r="B49" s="416" t="s">
        <v>303</v>
      </c>
      <c r="C49" s="419">
        <f>VLOOKUP(B49,'12.ppp data'!$C$3:$J$273,7,FALSE)</f>
        <v>1.2540038546613537</v>
      </c>
      <c r="D49" s="419" t="str">
        <f>IF(VLOOKUP(B49,'12.ppp data'!$C$3:$J$273,8,FALSE)="est","est","-")</f>
        <v>-</v>
      </c>
      <c r="E49" s="416" t="s">
        <v>245</v>
      </c>
      <c r="F49" s="419">
        <v>3.4210526315789473</v>
      </c>
      <c r="G49" s="419" t="s">
        <v>244</v>
      </c>
      <c r="H49" s="371"/>
      <c r="J49" s="416" t="s">
        <v>304</v>
      </c>
    </row>
    <row r="50" spans="1:10" ht="9.75" customHeight="1">
      <c r="A50" s="416" t="str">
        <f>'12.lan'!D367</f>
        <v xml:space="preserve">BRN Brunei Darussalam </v>
      </c>
      <c r="B50" s="416" t="s">
        <v>305</v>
      </c>
      <c r="C50" s="419">
        <f>VLOOKUP(B50,'12.ppp data'!$C$3:$J$273,7,FALSE)</f>
        <v>3.1176181528100453</v>
      </c>
      <c r="D50" s="419" t="str">
        <f>IF(VLOOKUP(B50,'12.ppp data'!$C$3:$J$273,8,FALSE)="est","est","-")</f>
        <v>-</v>
      </c>
      <c r="E50" s="416" t="s">
        <v>248</v>
      </c>
      <c r="F50" s="419">
        <v>4.1785714285714288</v>
      </c>
      <c r="G50" s="419" t="s">
        <v>244</v>
      </c>
      <c r="H50" s="371"/>
      <c r="J50" s="416" t="s">
        <v>306</v>
      </c>
    </row>
    <row r="51" spans="1:10" ht="9.75" customHeight="1">
      <c r="A51" s="416" t="str">
        <f>'12.lan'!D368</f>
        <v xml:space="preserve">BTN Bhutan </v>
      </c>
      <c r="B51" s="416" t="s">
        <v>307</v>
      </c>
      <c r="C51" s="419">
        <f>VLOOKUP(B51,'12.ppp data'!$C$3:$J$273,7,FALSE)</f>
        <v>3.3234092918740692</v>
      </c>
      <c r="D51" s="419" t="str">
        <f>IF(VLOOKUP(B51,'12.ppp data'!$C$3:$J$273,8,FALSE)="est","est","-")</f>
        <v>-</v>
      </c>
      <c r="E51" s="416" t="s">
        <v>248</v>
      </c>
      <c r="F51" s="419">
        <v>4.1785714285714288</v>
      </c>
      <c r="G51" s="419" t="s">
        <v>244</v>
      </c>
      <c r="H51" s="371"/>
      <c r="J51" s="416" t="s">
        <v>308</v>
      </c>
    </row>
    <row r="52" spans="1:10" ht="9.75" customHeight="1">
      <c r="A52" s="416" t="str">
        <f>'12.lan'!D369</f>
        <v xml:space="preserve">BWA Botswana </v>
      </c>
      <c r="B52" s="416" t="s">
        <v>309</v>
      </c>
      <c r="C52" s="419">
        <f>VLOOKUP(B52,'12.ppp data'!$C$3:$J$273,7,FALSE)</f>
        <v>2.5503043498706708</v>
      </c>
      <c r="D52" s="419" t="str">
        <f>IF(VLOOKUP(B52,'12.ppp data'!$C$3:$J$273,8,FALSE)="est","est","-")</f>
        <v>-</v>
      </c>
      <c r="E52" s="416" t="s">
        <v>251</v>
      </c>
      <c r="F52" s="419">
        <v>4</v>
      </c>
      <c r="G52" s="419"/>
      <c r="H52" s="371"/>
      <c r="J52" s="416" t="s">
        <v>310</v>
      </c>
    </row>
    <row r="53" spans="1:10" ht="9.75" customHeight="1">
      <c r="A53" s="416" t="str">
        <f>'12.lan'!D370</f>
        <v xml:space="preserve">CAF Central African Republic </v>
      </c>
      <c r="B53" s="416" t="s">
        <v>311</v>
      </c>
      <c r="C53" s="419">
        <f>VLOOKUP(B53,'12.ppp data'!$C$3:$J$273,7,FALSE)</f>
        <v>1.959025642488365</v>
      </c>
      <c r="D53" s="419" t="str">
        <f>IF(VLOOKUP(B53,'12.ppp data'!$C$3:$J$273,8,FALSE)="est","est","-")</f>
        <v>-</v>
      </c>
      <c r="E53" s="416" t="s">
        <v>251</v>
      </c>
      <c r="F53" s="419">
        <v>3.7083333333333335</v>
      </c>
      <c r="G53" s="419" t="s">
        <v>244</v>
      </c>
      <c r="H53" s="371"/>
      <c r="J53" s="416" t="s">
        <v>312</v>
      </c>
    </row>
    <row r="54" spans="1:10" ht="9.75" customHeight="1">
      <c r="A54" s="416" t="str">
        <f>'12.lan'!D371</f>
        <v xml:space="preserve">CAN Canada </v>
      </c>
      <c r="B54" s="416" t="s">
        <v>313</v>
      </c>
      <c r="C54" s="419">
        <f>VLOOKUP(B54,'12.ppp data'!$C$3:$J$273,7,FALSE)</f>
        <v>1.1634745723704574</v>
      </c>
      <c r="D54" s="419" t="str">
        <f>IF(VLOOKUP(B54,'12.ppp data'!$C$3:$J$273,8,FALSE)="est","est","-")</f>
        <v>-</v>
      </c>
      <c r="E54" s="416" t="s">
        <v>245</v>
      </c>
      <c r="F54" s="419">
        <v>3</v>
      </c>
      <c r="G54" s="419"/>
      <c r="H54" s="371"/>
      <c r="I54" s="422"/>
      <c r="J54" s="416" t="s">
        <v>314</v>
      </c>
    </row>
    <row r="55" spans="1:10" ht="9.75" customHeight="1">
      <c r="A55" s="416" t="str">
        <f>'12.lan'!D372</f>
        <v xml:space="preserve">CHE Switzerland </v>
      </c>
      <c r="B55" s="416" t="s">
        <v>315</v>
      </c>
      <c r="C55" s="419">
        <f>VLOOKUP(B55,'12.ppp data'!$C$3:$J$273,7,FALSE)</f>
        <v>0.9153882839101658</v>
      </c>
      <c r="D55" s="419" t="str">
        <f>IF(VLOOKUP(B55,'12.ppp data'!$C$3:$J$273,8,FALSE)="est","est","-")</f>
        <v>-</v>
      </c>
      <c r="E55" s="416" t="s">
        <v>254</v>
      </c>
      <c r="F55" s="419">
        <v>2</v>
      </c>
      <c r="G55" s="419" t="s">
        <v>244</v>
      </c>
      <c r="H55" s="371"/>
      <c r="J55" s="416" t="s">
        <v>316</v>
      </c>
    </row>
    <row r="56" spans="1:10" ht="9.75" customHeight="1">
      <c r="A56" s="416" t="str">
        <f>'12.lan'!D373</f>
        <v xml:space="preserve">CHL Chile </v>
      </c>
      <c r="B56" s="416" t="s">
        <v>317</v>
      </c>
      <c r="C56" s="419">
        <f>VLOOKUP(B56,'12.ppp data'!$C$3:$J$273,7,FALSE)</f>
        <v>1.7644244813964496</v>
      </c>
      <c r="D56" s="419" t="str">
        <f>IF(VLOOKUP(B56,'12.ppp data'!$C$3:$J$273,8,FALSE)="est","est","-")</f>
        <v>-</v>
      </c>
      <c r="E56" s="416" t="s">
        <v>245</v>
      </c>
      <c r="F56" s="419">
        <v>3</v>
      </c>
      <c r="G56" s="419"/>
      <c r="H56" s="371"/>
      <c r="J56" s="416" t="s">
        <v>318</v>
      </c>
    </row>
    <row r="57" spans="1:10" ht="9.75" customHeight="1">
      <c r="A57" s="416" t="str">
        <f>'12.lan'!D374</f>
        <v xml:space="preserve">CHN China </v>
      </c>
      <c r="B57" s="416" t="s">
        <v>319</v>
      </c>
      <c r="C57" s="419">
        <f>VLOOKUP(B57,'12.ppp data'!$C$3:$J$273,7,FALSE)</f>
        <v>2.1503797961670617</v>
      </c>
      <c r="D57" s="419" t="str">
        <f>IF(VLOOKUP(B57,'12.ppp data'!$C$3:$J$273,8,FALSE)="est","est","-")</f>
        <v>-</v>
      </c>
      <c r="E57" s="416" t="s">
        <v>248</v>
      </c>
      <c r="F57" s="419">
        <v>5</v>
      </c>
      <c r="G57" s="419"/>
      <c r="H57" s="371"/>
      <c r="J57" s="416" t="s">
        <v>320</v>
      </c>
    </row>
    <row r="58" spans="1:10" ht="9.75" customHeight="1">
      <c r="A58" s="416" t="str">
        <f>'12.lan'!D375</f>
        <v xml:space="preserve">CIV Côte d'Ivoire </v>
      </c>
      <c r="B58" s="416" t="s">
        <v>321</v>
      </c>
      <c r="C58" s="419">
        <f>VLOOKUP(B58,'12.ppp data'!$C$3:$J$273,7,FALSE)</f>
        <v>2.6835891443138244</v>
      </c>
      <c r="D58" s="419" t="str">
        <f>IF(VLOOKUP(B58,'12.ppp data'!$C$3:$J$273,8,FALSE)="est","est","-")</f>
        <v>-</v>
      </c>
      <c r="E58" s="416" t="s">
        <v>251</v>
      </c>
      <c r="F58" s="419">
        <v>5</v>
      </c>
      <c r="G58" s="419"/>
      <c r="H58" s="371"/>
      <c r="J58" s="416" t="s">
        <v>322</v>
      </c>
    </row>
    <row r="59" spans="1:10" ht="9.75" customHeight="1">
      <c r="A59" s="416" t="str">
        <f>'12.lan'!D376</f>
        <v xml:space="preserve">CMR Cameroon </v>
      </c>
      <c r="B59" s="416" t="s">
        <v>323</v>
      </c>
      <c r="C59" s="419">
        <f>VLOOKUP(B59,'12.ppp data'!$C$3:$J$273,7,FALSE)</f>
        <v>2.8832386484879957</v>
      </c>
      <c r="D59" s="419" t="str">
        <f>IF(VLOOKUP(B59,'12.ppp data'!$C$3:$J$273,8,FALSE)="est","est","-")</f>
        <v>-</v>
      </c>
      <c r="E59" s="416" t="s">
        <v>251</v>
      </c>
      <c r="F59" s="419">
        <v>2</v>
      </c>
      <c r="G59" s="419"/>
      <c r="H59" s="371"/>
      <c r="J59" s="416" t="s">
        <v>324</v>
      </c>
    </row>
    <row r="60" spans="1:10" ht="9.75" customHeight="1">
      <c r="A60" s="416" t="str">
        <f>'12.lan'!D377</f>
        <v xml:space="preserve">COD Congo, the Democratic Republic of the </v>
      </c>
      <c r="B60" s="416" t="s">
        <v>325</v>
      </c>
      <c r="C60" s="419">
        <f>VLOOKUP(B60,'12.ppp data'!$C$3:$J$273,7,FALSE)</f>
        <v>2.1299392810512296</v>
      </c>
      <c r="D60" s="419" t="str">
        <f>IF(VLOOKUP(B60,'12.ppp data'!$C$3:$J$273,8,FALSE)="est","est","-")</f>
        <v>-</v>
      </c>
      <c r="E60" s="416" t="s">
        <v>251</v>
      </c>
      <c r="F60" s="419">
        <v>4</v>
      </c>
      <c r="G60" s="419"/>
      <c r="H60" s="371"/>
      <c r="J60" s="416" t="s">
        <v>326</v>
      </c>
    </row>
    <row r="61" spans="1:10" ht="9.75" customHeight="1">
      <c r="A61" s="416" t="str">
        <f>'12.lan'!D378</f>
        <v xml:space="preserve">COG Congo </v>
      </c>
      <c r="B61" s="416" t="s">
        <v>327</v>
      </c>
      <c r="C61" s="419">
        <f>VLOOKUP(B61,'12.ppp data'!$C$3:$J$273,7,FALSE)</f>
        <v>3.6495000244034985</v>
      </c>
      <c r="D61" s="419" t="str">
        <f>IF(VLOOKUP(B61,'12.ppp data'!$C$3:$J$273,8,FALSE)="est","est","-")</f>
        <v>-</v>
      </c>
      <c r="E61" s="416" t="s">
        <v>251</v>
      </c>
      <c r="F61" s="419">
        <v>3</v>
      </c>
      <c r="G61" s="419"/>
      <c r="H61" s="371"/>
      <c r="J61" s="416" t="s">
        <v>328</v>
      </c>
    </row>
    <row r="62" spans="1:10" ht="9.75" customHeight="1">
      <c r="A62" s="416" t="str">
        <f>'12.lan'!D379</f>
        <v xml:space="preserve">COL Colombia </v>
      </c>
      <c r="B62" s="416" t="s">
        <v>329</v>
      </c>
      <c r="C62" s="419">
        <f>VLOOKUP(B62,'12.ppp data'!$C$3:$J$273,7,FALSE)</f>
        <v>2.5998967962865138</v>
      </c>
      <c r="D62" s="419" t="str">
        <f>IF(VLOOKUP(B62,'12.ppp data'!$C$3:$J$273,8,FALSE)="est","est","-")</f>
        <v>-</v>
      </c>
      <c r="E62" s="416" t="s">
        <v>245</v>
      </c>
      <c r="F62" s="419">
        <v>5</v>
      </c>
      <c r="G62" s="419"/>
      <c r="H62" s="371"/>
      <c r="J62" s="416" t="s">
        <v>330</v>
      </c>
    </row>
    <row r="63" spans="1:10" ht="9.75" customHeight="1">
      <c r="A63" s="416" t="str">
        <f>'12.lan'!D380</f>
        <v xml:space="preserve">COM Comoros </v>
      </c>
      <c r="B63" s="416" t="s">
        <v>331</v>
      </c>
      <c r="C63" s="419">
        <f>VLOOKUP(B63,'12.ppp data'!$C$3:$J$273,7,FALSE)</f>
        <v>2.1983905043497955</v>
      </c>
      <c r="D63" s="419" t="str">
        <f>IF(VLOOKUP(B63,'12.ppp data'!$C$3:$J$273,8,FALSE)="est","est","-")</f>
        <v>-</v>
      </c>
      <c r="E63" s="416" t="s">
        <v>251</v>
      </c>
      <c r="F63" s="419">
        <v>3.7083333333333335</v>
      </c>
      <c r="G63" s="419" t="s">
        <v>244</v>
      </c>
      <c r="H63" s="371"/>
      <c r="J63" s="416" t="s">
        <v>332</v>
      </c>
    </row>
    <row r="64" spans="1:10" ht="9.75" customHeight="1">
      <c r="A64" s="416" t="str">
        <f>'12.lan'!D381</f>
        <v xml:space="preserve">CPV Cape Verde </v>
      </c>
      <c r="B64" s="416" t="s">
        <v>333</v>
      </c>
      <c r="C64" s="419">
        <f>VLOOKUP(B64,'12.ppp data'!$C$3:$J$273,7,FALSE)</f>
        <v>2.4021914075297448</v>
      </c>
      <c r="D64" s="419" t="str">
        <f>IF(VLOOKUP(B64,'12.ppp data'!$C$3:$J$273,8,FALSE)="est","est","-")</f>
        <v>-</v>
      </c>
      <c r="E64" s="416" t="s">
        <v>251</v>
      </c>
      <c r="F64" s="419">
        <v>3.7083333333333335</v>
      </c>
      <c r="G64" s="419" t="s">
        <v>244</v>
      </c>
      <c r="H64" s="371"/>
      <c r="J64" s="416" t="s">
        <v>334</v>
      </c>
    </row>
    <row r="65" spans="1:10" ht="9.75" customHeight="1">
      <c r="A65" s="416" t="str">
        <f>'12.lan'!D382</f>
        <v xml:space="preserve">CRI Costa Rica </v>
      </c>
      <c r="B65" s="416" t="s">
        <v>335</v>
      </c>
      <c r="C65" s="419">
        <f>VLOOKUP(B65,'12.ppp data'!$C$3:$J$273,7,FALSE)</f>
        <v>1.6011243751791864</v>
      </c>
      <c r="D65" s="419" t="str">
        <f>IF(VLOOKUP(B65,'12.ppp data'!$C$3:$J$273,8,FALSE)="est","est","-")</f>
        <v>-</v>
      </c>
      <c r="E65" s="416" t="s">
        <v>245</v>
      </c>
      <c r="F65" s="419">
        <v>3</v>
      </c>
      <c r="G65" s="419"/>
      <c r="H65" s="371"/>
      <c r="J65" s="416" t="s">
        <v>336</v>
      </c>
    </row>
    <row r="66" spans="1:10" ht="9.75" customHeight="1">
      <c r="A66" s="416" t="str">
        <f>'12.lan'!D383</f>
        <v xml:space="preserve">CUB Cuba </v>
      </c>
      <c r="B66" s="416" t="s">
        <v>337</v>
      </c>
      <c r="C66" s="419">
        <f>VLOOKUP(B66,'12.ppp data'!$C$3:$J$273,7,FALSE)</f>
        <v>1.9628994497935313</v>
      </c>
      <c r="D66" s="419" t="str">
        <f>IF(VLOOKUP(B66,'12.ppp data'!$C$3:$J$273,8,FALSE)="est","est","-")</f>
        <v>est</v>
      </c>
      <c r="E66" s="416" t="s">
        <v>245</v>
      </c>
      <c r="F66" s="419">
        <v>3.4210526315789473</v>
      </c>
      <c r="G66" s="419" t="s">
        <v>244</v>
      </c>
      <c r="H66" s="371"/>
      <c r="J66" s="416" t="s">
        <v>338</v>
      </c>
    </row>
    <row r="67" spans="1:10" ht="9.75" customHeight="1">
      <c r="A67" s="416" t="str">
        <f>'12.lan'!D384</f>
        <v xml:space="preserve">CUW Curaçao </v>
      </c>
      <c r="B67" s="416" t="s">
        <v>339</v>
      </c>
      <c r="C67" s="419">
        <f>VLOOKUP(B67,'12.ppp data'!$C$3:$J$273,7,FALSE)</f>
        <v>1.9628994497935313</v>
      </c>
      <c r="D67" s="419" t="str">
        <f>IF(VLOOKUP(B67,'12.ppp data'!$C$3:$J$273,8,FALSE)="est","est","-")</f>
        <v>est</v>
      </c>
      <c r="E67" s="416" t="s">
        <v>245</v>
      </c>
      <c r="F67" s="419">
        <v>3.4210526315789473</v>
      </c>
      <c r="G67" s="419" t="s">
        <v>244</v>
      </c>
      <c r="H67" s="371"/>
      <c r="J67" s="416" t="s">
        <v>340</v>
      </c>
    </row>
    <row r="68" spans="1:10" ht="9.75" customHeight="1">
      <c r="A68" s="416" t="str">
        <f>'12.lan'!D385</f>
        <v xml:space="preserve">CYM Cayman Islands </v>
      </c>
      <c r="B68" s="416" t="s">
        <v>341</v>
      </c>
      <c r="C68" s="419">
        <f>VLOOKUP(B68,'12.ppp data'!$C$3:$J$273,7,FALSE)</f>
        <v>1.9628994497935313</v>
      </c>
      <c r="D68" s="419" t="str">
        <f>IF(VLOOKUP(B68,'12.ppp data'!$C$3:$J$273,8,FALSE)="est","est","-")</f>
        <v>est</v>
      </c>
      <c r="E68" s="416" t="s">
        <v>245</v>
      </c>
      <c r="F68" s="419">
        <v>3.4210526315789473</v>
      </c>
      <c r="G68" s="419" t="s">
        <v>244</v>
      </c>
      <c r="H68" s="371"/>
      <c r="J68" s="416" t="s">
        <v>342</v>
      </c>
    </row>
    <row r="69" spans="1:10" ht="9.75" customHeight="1">
      <c r="A69" s="416" t="str">
        <f>'12.lan'!D386</f>
        <v xml:space="preserve">CYP Cyprus </v>
      </c>
      <c r="B69" s="416" t="s">
        <v>343</v>
      </c>
      <c r="C69" s="419">
        <f>VLOOKUP(B69,'12.ppp data'!$C$3:$J$273,7,FALSE)</f>
        <v>1.5408651717757238</v>
      </c>
      <c r="D69" s="419" t="str">
        <f>IF(VLOOKUP(B69,'12.ppp data'!$C$3:$J$273,8,FALSE)="est","est","-")</f>
        <v>-</v>
      </c>
      <c r="E69" s="416" t="s">
        <v>248</v>
      </c>
      <c r="F69" s="419">
        <v>4.1785714285714288</v>
      </c>
      <c r="G69" s="419" t="s">
        <v>244</v>
      </c>
      <c r="H69" s="371"/>
      <c r="J69" s="416" t="s">
        <v>344</v>
      </c>
    </row>
    <row r="70" spans="1:10" ht="9.75" customHeight="1">
      <c r="A70" s="416" t="str">
        <f>'12.lan'!D387</f>
        <v xml:space="preserve">CZE Czech Republic </v>
      </c>
      <c r="B70" s="416" t="s">
        <v>345</v>
      </c>
      <c r="C70" s="419">
        <f>VLOOKUP(B70,'12.ppp data'!$C$3:$J$273,7,FALSE)</f>
        <v>2.0458749282975601</v>
      </c>
      <c r="D70" s="419" t="str">
        <f>IF(VLOOKUP(B70,'12.ppp data'!$C$3:$J$273,8,FALSE)="est","est","-")</f>
        <v>-</v>
      </c>
      <c r="E70" s="416" t="s">
        <v>254</v>
      </c>
      <c r="F70" s="419">
        <v>2</v>
      </c>
      <c r="G70" s="419"/>
      <c r="H70" s="371"/>
      <c r="J70" s="416" t="s">
        <v>346</v>
      </c>
    </row>
    <row r="71" spans="1:10" ht="9.75" customHeight="1">
      <c r="A71" s="416" t="str">
        <f>'12.lan'!D388</f>
        <v xml:space="preserve">DEU Germany </v>
      </c>
      <c r="B71" s="416" t="s">
        <v>347</v>
      </c>
      <c r="C71" s="419">
        <f>VLOOKUP(B71,'12.ppp data'!$C$3:$J$273,7,FALSE)</f>
        <v>1.2851587299547367</v>
      </c>
      <c r="D71" s="419" t="str">
        <f>IF(VLOOKUP(B71,'12.ppp data'!$C$3:$J$273,8,FALSE)="est","est","-")</f>
        <v>-</v>
      </c>
      <c r="E71" s="416" t="s">
        <v>254</v>
      </c>
      <c r="F71" s="419">
        <v>1</v>
      </c>
      <c r="G71" s="419"/>
      <c r="H71" s="371"/>
      <c r="J71" s="416" t="s">
        <v>348</v>
      </c>
    </row>
    <row r="72" spans="1:10" ht="9.75" customHeight="1">
      <c r="A72" s="416" t="str">
        <f>'12.lan'!D389</f>
        <v xml:space="preserve">DJI Djibouti </v>
      </c>
      <c r="B72" s="416" t="s">
        <v>349</v>
      </c>
      <c r="C72" s="419">
        <f>VLOOKUP(B72,'12.ppp data'!$C$3:$J$273,7,FALSE)</f>
        <v>3.0325616327831186</v>
      </c>
      <c r="D72" s="419" t="str">
        <f>IF(VLOOKUP(B72,'12.ppp data'!$C$3:$J$273,8,FALSE)="est","est","-")</f>
        <v>est</v>
      </c>
      <c r="E72" s="416" t="s">
        <v>251</v>
      </c>
      <c r="F72" s="419">
        <v>3.7083333333333335</v>
      </c>
      <c r="G72" s="419" t="s">
        <v>244</v>
      </c>
      <c r="H72" s="371"/>
      <c r="J72" s="416" t="s">
        <v>350</v>
      </c>
    </row>
    <row r="73" spans="1:10" ht="9.75" customHeight="1">
      <c r="A73" s="416" t="str">
        <f>'12.lan'!D390</f>
        <v xml:space="preserve">DMA Dominica </v>
      </c>
      <c r="B73" s="416" t="s">
        <v>351</v>
      </c>
      <c r="C73" s="419">
        <f>VLOOKUP(B73,'12.ppp data'!$C$3:$J$273,7,FALSE)</f>
        <v>1.5763123538056831</v>
      </c>
      <c r="D73" s="419" t="str">
        <f>IF(VLOOKUP(B73,'12.ppp data'!$C$3:$J$273,8,FALSE)="est","est","-")</f>
        <v>-</v>
      </c>
      <c r="E73" s="416" t="s">
        <v>245</v>
      </c>
      <c r="F73" s="419">
        <v>3.4210526315789473</v>
      </c>
      <c r="G73" s="419" t="s">
        <v>244</v>
      </c>
      <c r="H73" s="371"/>
      <c r="J73" s="416" t="s">
        <v>352</v>
      </c>
    </row>
    <row r="74" spans="1:10" ht="9.75" customHeight="1">
      <c r="A74" s="416" t="str">
        <f>'12.lan'!D391</f>
        <v xml:space="preserve">DNK Denmark </v>
      </c>
      <c r="B74" s="416" t="s">
        <v>353</v>
      </c>
      <c r="C74" s="419">
        <f>VLOOKUP(B74,'12.ppp data'!$C$3:$J$273,7,FALSE)</f>
        <v>1.0129644494868468</v>
      </c>
      <c r="D74" s="419" t="str">
        <f>IF(VLOOKUP(B74,'12.ppp data'!$C$3:$J$273,8,FALSE)="est","est","-")</f>
        <v>-</v>
      </c>
      <c r="E74" s="416" t="s">
        <v>254</v>
      </c>
      <c r="F74" s="419">
        <v>1</v>
      </c>
      <c r="G74" s="419"/>
      <c r="H74" s="371"/>
      <c r="J74" s="416" t="s">
        <v>354</v>
      </c>
    </row>
    <row r="75" spans="1:10" ht="9.75" customHeight="1">
      <c r="A75" s="416" t="str">
        <f>'12.lan'!D392</f>
        <v xml:space="preserve">DOM Dominican Republic </v>
      </c>
      <c r="B75" s="416" t="s">
        <v>355</v>
      </c>
      <c r="C75" s="419">
        <f>VLOOKUP(B75,'12.ppp data'!$C$3:$J$273,7,FALSE)</f>
        <v>2.5270944944526477</v>
      </c>
      <c r="D75" s="419" t="str">
        <f>IF(VLOOKUP(B75,'12.ppp data'!$C$3:$J$273,8,FALSE)="est","est","-")</f>
        <v>-</v>
      </c>
      <c r="E75" s="416" t="s">
        <v>245</v>
      </c>
      <c r="F75" s="419">
        <v>2</v>
      </c>
      <c r="G75" s="419"/>
      <c r="H75" s="371"/>
      <c r="J75" s="416" t="s">
        <v>356</v>
      </c>
    </row>
    <row r="76" spans="1:10" ht="9.75" customHeight="1">
      <c r="A76" s="416" t="str">
        <f>'12.lan'!D393</f>
        <v xml:space="preserve">DZA Algeria </v>
      </c>
      <c r="B76" s="416" t="s">
        <v>357</v>
      </c>
      <c r="C76" s="419">
        <f>VLOOKUP(B76,'12.ppp data'!$C$3:$J$273,7,FALSE)</f>
        <v>4.1642622848338151</v>
      </c>
      <c r="D76" s="419" t="str">
        <f>IF(VLOOKUP(B76,'12.ppp data'!$C$3:$J$273,8,FALSE)="est","est","-")</f>
        <v>-</v>
      </c>
      <c r="E76" s="416" t="s">
        <v>251</v>
      </c>
      <c r="F76" s="419">
        <v>5</v>
      </c>
      <c r="G76" s="419"/>
      <c r="H76" s="371"/>
      <c r="J76" s="416" t="s">
        <v>358</v>
      </c>
    </row>
    <row r="77" spans="1:10" ht="9.75" customHeight="1">
      <c r="A77" s="416" t="str">
        <f>'12.lan'!D394</f>
        <v xml:space="preserve">ECU Ecuador </v>
      </c>
      <c r="B77" s="416" t="s">
        <v>359</v>
      </c>
      <c r="C77" s="419">
        <f>VLOOKUP(B77,'12.ppp data'!$C$3:$J$273,7,FALSE)</f>
        <v>2.1167738700762175</v>
      </c>
      <c r="D77" s="419" t="str">
        <f>IF(VLOOKUP(B77,'12.ppp data'!$C$3:$J$273,8,FALSE)="est","est","-")</f>
        <v>-</v>
      </c>
      <c r="E77" s="416" t="s">
        <v>245</v>
      </c>
      <c r="F77" s="419">
        <v>3</v>
      </c>
      <c r="G77" s="419"/>
      <c r="H77" s="371"/>
      <c r="J77" s="416" t="s">
        <v>360</v>
      </c>
    </row>
    <row r="78" spans="1:10" ht="9.75" customHeight="1">
      <c r="A78" s="416" t="str">
        <f>'12.lan'!D395</f>
        <v xml:space="preserve">EGY Egypt </v>
      </c>
      <c r="B78" s="416" t="s">
        <v>361</v>
      </c>
      <c r="C78" s="419">
        <f>VLOOKUP(B78,'12.ppp data'!$C$3:$J$273,7,FALSE)</f>
        <v>6.5517395198485584</v>
      </c>
      <c r="D78" s="419" t="str">
        <f>IF(VLOOKUP(B78,'12.ppp data'!$C$3:$J$273,8,FALSE)="est","est","-")</f>
        <v>-</v>
      </c>
      <c r="E78" s="416" t="s">
        <v>251</v>
      </c>
      <c r="F78" s="419">
        <v>5</v>
      </c>
      <c r="G78" s="419"/>
      <c r="H78" s="371"/>
      <c r="J78" s="416" t="s">
        <v>362</v>
      </c>
    </row>
    <row r="79" spans="1:10" ht="9.75" customHeight="1">
      <c r="A79" s="416" t="str">
        <f>'12.lan'!D396</f>
        <v xml:space="preserve">ERI Eritrea </v>
      </c>
      <c r="B79" s="416" t="s">
        <v>363</v>
      </c>
      <c r="C79" s="419">
        <f>VLOOKUP(B79,'12.ppp data'!$C$3:$J$273,7,FALSE)</f>
        <v>3.0325616327831186</v>
      </c>
      <c r="D79" s="419" t="str">
        <f>IF(VLOOKUP(B79,'12.ppp data'!$C$3:$J$273,8,FALSE)="est","est","-")</f>
        <v>est</v>
      </c>
      <c r="E79" s="416" t="s">
        <v>251</v>
      </c>
      <c r="F79" s="419">
        <v>3.7083333333333335</v>
      </c>
      <c r="G79" s="419" t="s">
        <v>244</v>
      </c>
      <c r="H79" s="371"/>
      <c r="J79" s="416" t="s">
        <v>364</v>
      </c>
    </row>
    <row r="80" spans="1:10" ht="9.75" customHeight="1">
      <c r="A80" s="416" t="str">
        <f>'12.lan'!D397</f>
        <v xml:space="preserve">ESP Spain </v>
      </c>
      <c r="B80" s="416" t="s">
        <v>365</v>
      </c>
      <c r="C80" s="419">
        <f>VLOOKUP(B80,'12.ppp data'!$C$3:$J$273,7,FALSE)</f>
        <v>1.5244739040557105</v>
      </c>
      <c r="D80" s="419" t="str">
        <f>IF(VLOOKUP(B80,'12.ppp data'!$C$3:$J$273,8,FALSE)="est","est","-")</f>
        <v>-</v>
      </c>
      <c r="E80" s="416" t="s">
        <v>254</v>
      </c>
      <c r="F80" s="419">
        <v>2</v>
      </c>
      <c r="G80" s="419"/>
      <c r="H80" s="371"/>
      <c r="J80" s="416" t="s">
        <v>366</v>
      </c>
    </row>
    <row r="81" spans="1:10" ht="9.75" customHeight="1">
      <c r="A81" s="416" t="str">
        <f>'12.lan'!D398</f>
        <v xml:space="preserve">EST Estonia </v>
      </c>
      <c r="B81" s="416" t="s">
        <v>367</v>
      </c>
      <c r="C81" s="419">
        <f>VLOOKUP(B81,'12.ppp data'!$C$3:$J$273,7,FALSE)</f>
        <v>1.8093292635487097</v>
      </c>
      <c r="D81" s="419" t="str">
        <f>IF(VLOOKUP(B81,'12.ppp data'!$C$3:$J$273,8,FALSE)="est","est","-")</f>
        <v>-</v>
      </c>
      <c r="E81" s="416" t="s">
        <v>254</v>
      </c>
      <c r="F81" s="419">
        <v>1</v>
      </c>
      <c r="G81" s="419"/>
      <c r="H81" s="371"/>
      <c r="J81" s="416" t="s">
        <v>368</v>
      </c>
    </row>
    <row r="82" spans="1:10" ht="9.75" customHeight="1">
      <c r="A82" s="416" t="str">
        <f>'12.lan'!D399</f>
        <v xml:space="preserve">ETH Ethiopia </v>
      </c>
      <c r="B82" s="416" t="s">
        <v>369</v>
      </c>
      <c r="C82" s="419">
        <f>VLOOKUP(B82,'12.ppp data'!$C$3:$J$273,7,FALSE)</f>
        <v>2.9561559727359685</v>
      </c>
      <c r="D82" s="419" t="str">
        <f>IF(VLOOKUP(B82,'12.ppp data'!$C$3:$J$273,8,FALSE)="est","est","-")</f>
        <v>-</v>
      </c>
      <c r="E82" s="416" t="s">
        <v>251</v>
      </c>
      <c r="F82" s="419">
        <v>3</v>
      </c>
      <c r="G82" s="419"/>
      <c r="H82" s="371"/>
      <c r="J82" s="416" t="s">
        <v>370</v>
      </c>
    </row>
    <row r="83" spans="1:10" ht="9.75" customHeight="1">
      <c r="A83" s="416" t="str">
        <f>'12.lan'!D400</f>
        <v xml:space="preserve">FIN Finland </v>
      </c>
      <c r="B83" s="416" t="s">
        <v>371</v>
      </c>
      <c r="C83" s="419">
        <f>VLOOKUP(B83,'12.ppp data'!$C$3:$J$273,7,FALSE)</f>
        <v>1.1142731707534492</v>
      </c>
      <c r="D83" s="419" t="str">
        <f>IF(VLOOKUP(B83,'12.ppp data'!$C$3:$J$273,8,FALSE)="est","est","-")</f>
        <v>-</v>
      </c>
      <c r="E83" s="416" t="s">
        <v>254</v>
      </c>
      <c r="F83" s="419">
        <v>1</v>
      </c>
      <c r="G83" s="419"/>
      <c r="H83" s="371"/>
      <c r="J83" s="416" t="s">
        <v>372</v>
      </c>
    </row>
    <row r="84" spans="1:10" ht="9.75" customHeight="1">
      <c r="A84" s="416" t="str">
        <f>'12.lan'!D401</f>
        <v xml:space="preserve">FJI Fiji </v>
      </c>
      <c r="B84" s="416" t="s">
        <v>373</v>
      </c>
      <c r="C84" s="419">
        <f>VLOOKUP(B84,'12.ppp data'!$C$3:$J$273,7,FALSE)</f>
        <v>1.9119851455613843</v>
      </c>
      <c r="D84" s="419" t="str">
        <f>IF(VLOOKUP(B84,'12.ppp data'!$C$3:$J$273,8,FALSE)="est","est","-")</f>
        <v>-</v>
      </c>
      <c r="E84" s="416" t="s">
        <v>265</v>
      </c>
      <c r="F84" s="419">
        <v>3</v>
      </c>
      <c r="G84" s="419" t="s">
        <v>244</v>
      </c>
      <c r="H84" s="371"/>
      <c r="J84" s="416" t="s">
        <v>374</v>
      </c>
    </row>
    <row r="85" spans="1:10" ht="9.75" customHeight="1">
      <c r="A85" s="416" t="str">
        <f>'12.lan'!D402</f>
        <v xml:space="preserve">FRA France </v>
      </c>
      <c r="B85" s="416" t="s">
        <v>375</v>
      </c>
      <c r="C85" s="419">
        <f>VLOOKUP(B85,'12.ppp data'!$C$3:$J$273,7,FALSE)</f>
        <v>1.2528941855686637</v>
      </c>
      <c r="D85" s="419" t="str">
        <f>IF(VLOOKUP(B85,'12.ppp data'!$C$3:$J$273,8,FALSE)="est","est","-")</f>
        <v>-</v>
      </c>
      <c r="E85" s="416" t="s">
        <v>254</v>
      </c>
      <c r="F85" s="419">
        <v>1</v>
      </c>
      <c r="G85" s="419"/>
      <c r="H85" s="371"/>
      <c r="J85" s="416" t="s">
        <v>376</v>
      </c>
    </row>
    <row r="86" spans="1:10" ht="9.75" customHeight="1">
      <c r="A86" s="416" t="str">
        <f>'12.lan'!D403</f>
        <v xml:space="preserve">FRO Faroe Islands </v>
      </c>
      <c r="B86" s="416" t="s">
        <v>377</v>
      </c>
      <c r="C86" s="419">
        <f>VLOOKUP(B86,'12.ppp data'!$C$3:$J$273,7,FALSE)</f>
        <v>1.9328616451977572</v>
      </c>
      <c r="D86" s="419" t="str">
        <f>IF(VLOOKUP(B86,'12.ppp data'!$C$3:$J$273,8,FALSE)="est","est","-")</f>
        <v>est</v>
      </c>
      <c r="E86" s="416" t="s">
        <v>254</v>
      </c>
      <c r="F86" s="419">
        <v>2</v>
      </c>
      <c r="G86" s="419" t="s">
        <v>244</v>
      </c>
      <c r="H86" s="371"/>
      <c r="J86" s="416" t="s">
        <v>378</v>
      </c>
    </row>
    <row r="87" spans="1:10" ht="9.75" customHeight="1">
      <c r="A87" s="416" t="str">
        <f>'12.lan'!D404</f>
        <v xml:space="preserve">FSM Micronesia, Federated States of </v>
      </c>
      <c r="B87" s="416" t="s">
        <v>379</v>
      </c>
      <c r="C87" s="419">
        <f>VLOOKUP(B87,'12.ppp data'!$C$3:$J$273,7,FALSE)</f>
        <v>1.2835496050163311</v>
      </c>
      <c r="D87" s="419" t="str">
        <f>IF(VLOOKUP(B87,'12.ppp data'!$C$3:$J$273,8,FALSE)="est","est","-")</f>
        <v>-</v>
      </c>
      <c r="E87" s="416" t="s">
        <v>265</v>
      </c>
      <c r="F87" s="419">
        <v>3</v>
      </c>
      <c r="G87" s="419" t="s">
        <v>244</v>
      </c>
      <c r="H87" s="371"/>
      <c r="J87" s="416" t="s">
        <v>380</v>
      </c>
    </row>
    <row r="88" spans="1:10" ht="9.75" customHeight="1">
      <c r="A88" s="416" t="str">
        <f>'12.lan'!D405</f>
        <v xml:space="preserve">GAB Gabon </v>
      </c>
      <c r="B88" s="416" t="s">
        <v>381</v>
      </c>
      <c r="C88" s="419">
        <f>VLOOKUP(B88,'12.ppp data'!$C$3:$J$273,7,FALSE)</f>
        <v>2.843344628252908</v>
      </c>
      <c r="D88" s="419" t="str">
        <f>IF(VLOOKUP(B88,'12.ppp data'!$C$3:$J$273,8,FALSE)="est","est","-")</f>
        <v>-</v>
      </c>
      <c r="E88" s="416" t="s">
        <v>251</v>
      </c>
      <c r="F88" s="419">
        <v>3.7083333333333335</v>
      </c>
      <c r="G88" s="419" t="s">
        <v>244</v>
      </c>
      <c r="H88" s="371"/>
      <c r="J88" s="416" t="s">
        <v>382</v>
      </c>
    </row>
    <row r="89" spans="1:10" ht="9.75" customHeight="1">
      <c r="A89" s="416" t="str">
        <f>'12.lan'!D406</f>
        <v xml:space="preserve">GBR United Kingdom </v>
      </c>
      <c r="B89" s="416" t="s">
        <v>383</v>
      </c>
      <c r="C89" s="419">
        <f>VLOOKUP(B89,'12.ppp data'!$C$3:$J$273,7,FALSE)</f>
        <v>1.2471403241674037</v>
      </c>
      <c r="D89" s="419" t="str">
        <f>IF(VLOOKUP(B89,'12.ppp data'!$C$3:$J$273,8,FALSE)="est","est","-")</f>
        <v>-</v>
      </c>
      <c r="E89" s="416" t="s">
        <v>254</v>
      </c>
      <c r="F89" s="419">
        <v>3</v>
      </c>
      <c r="G89" s="419"/>
      <c r="H89" s="371"/>
      <c r="J89" s="416" t="s">
        <v>384</v>
      </c>
    </row>
    <row r="90" spans="1:10" ht="9.75" customHeight="1">
      <c r="A90" s="416" t="str">
        <f>'12.lan'!D407</f>
        <v xml:space="preserve">GEO Georgia </v>
      </c>
      <c r="B90" s="416" t="s">
        <v>385</v>
      </c>
      <c r="C90" s="419">
        <f>VLOOKUP(B90,'12.ppp data'!$C$3:$J$273,7,FALSE)</f>
        <v>2.9423586688331254</v>
      </c>
      <c r="D90" s="419" t="str">
        <f>IF(VLOOKUP(B90,'12.ppp data'!$C$3:$J$273,8,FALSE)="est","est","-")</f>
        <v>-</v>
      </c>
      <c r="E90" s="416" t="s">
        <v>248</v>
      </c>
      <c r="F90" s="419">
        <v>3</v>
      </c>
      <c r="G90" s="419"/>
      <c r="H90" s="371"/>
      <c r="J90" s="416" t="s">
        <v>386</v>
      </c>
    </row>
    <row r="91" spans="1:10" ht="9.75" customHeight="1">
      <c r="A91" s="416" t="str">
        <f>'12.lan'!D408</f>
        <v xml:space="preserve">GHA Ghana </v>
      </c>
      <c r="B91" s="416" t="s">
        <v>387</v>
      </c>
      <c r="C91" s="419">
        <f>VLOOKUP(B91,'12.ppp data'!$C$3:$J$273,7,FALSE)</f>
        <v>3.2149076522948876</v>
      </c>
      <c r="D91" s="419" t="str">
        <f>IF(VLOOKUP(B91,'12.ppp data'!$C$3:$J$273,8,FALSE)="est","est","-")</f>
        <v>-</v>
      </c>
      <c r="E91" s="416" t="s">
        <v>251</v>
      </c>
      <c r="F91" s="419">
        <v>3</v>
      </c>
      <c r="G91" s="419"/>
      <c r="H91" s="371"/>
      <c r="J91" s="416" t="s">
        <v>388</v>
      </c>
    </row>
    <row r="92" spans="1:10" ht="9.75" customHeight="1">
      <c r="A92" s="416" t="str">
        <f>'12.lan'!D409</f>
        <v xml:space="preserve">GIB Gibraltar </v>
      </c>
      <c r="B92" s="416" t="s">
        <v>389</v>
      </c>
      <c r="C92" s="419">
        <f>VLOOKUP(B92,'12.ppp data'!$C$3:$J$273,7,FALSE)</f>
        <v>1.9328616451977572</v>
      </c>
      <c r="D92" s="419" t="str">
        <f>IF(VLOOKUP(B92,'12.ppp data'!$C$3:$J$273,8,FALSE)="est","est","-")</f>
        <v>est</v>
      </c>
      <c r="E92" s="416" t="s">
        <v>254</v>
      </c>
      <c r="F92" s="419">
        <v>2</v>
      </c>
      <c r="G92" s="419" t="s">
        <v>244</v>
      </c>
      <c r="H92" s="371"/>
      <c r="J92" s="416" t="s">
        <v>390</v>
      </c>
    </row>
    <row r="93" spans="1:10" ht="9.75" customHeight="1">
      <c r="A93" s="416" t="str">
        <f>'12.lan'!D410</f>
        <v xml:space="preserve">GIN Guinea </v>
      </c>
      <c r="B93" s="416" t="s">
        <v>391</v>
      </c>
      <c r="C93" s="419">
        <f>VLOOKUP(B93,'12.ppp data'!$C$3:$J$273,7,FALSE)</f>
        <v>3.0159220685796839</v>
      </c>
      <c r="D93" s="419" t="str">
        <f>IF(VLOOKUP(B93,'12.ppp data'!$C$3:$J$273,8,FALSE)="est","est","-")</f>
        <v>-</v>
      </c>
      <c r="E93" s="416" t="s">
        <v>251</v>
      </c>
      <c r="F93" s="419">
        <v>3.7083333333333335</v>
      </c>
      <c r="G93" s="419" t="s">
        <v>244</v>
      </c>
      <c r="H93" s="371"/>
      <c r="J93" s="416" t="s">
        <v>392</v>
      </c>
    </row>
    <row r="94" spans="1:10" ht="9.75" customHeight="1">
      <c r="A94" s="416" t="str">
        <f>'12.lan'!D411</f>
        <v xml:space="preserve">GMB Gambia </v>
      </c>
      <c r="B94" s="416" t="s">
        <v>393</v>
      </c>
      <c r="C94" s="419">
        <f>VLOOKUP(B94,'12.ppp data'!$C$3:$J$273,7,FALSE)</f>
        <v>3.8671758828063174</v>
      </c>
      <c r="D94" s="419" t="str">
        <f>IF(VLOOKUP(B94,'12.ppp data'!$C$3:$J$273,8,FALSE)="est","est","-")</f>
        <v>-</v>
      </c>
      <c r="E94" s="416" t="s">
        <v>251</v>
      </c>
      <c r="F94" s="419">
        <v>3.7083333333333335</v>
      </c>
      <c r="G94" s="419" t="s">
        <v>244</v>
      </c>
      <c r="H94" s="371"/>
      <c r="J94" s="416" t="s">
        <v>394</v>
      </c>
    </row>
    <row r="95" spans="1:10" ht="9.75" customHeight="1">
      <c r="A95" s="416" t="str">
        <f>'12.lan'!D412</f>
        <v xml:space="preserve">GNB Guinea-Bissau </v>
      </c>
      <c r="B95" s="416" t="s">
        <v>395</v>
      </c>
      <c r="C95" s="419">
        <f>VLOOKUP(B95,'12.ppp data'!$C$3:$J$273,7,FALSE)</f>
        <v>2.6513391296403581</v>
      </c>
      <c r="D95" s="419" t="str">
        <f>IF(VLOOKUP(B95,'12.ppp data'!$C$3:$J$273,8,FALSE)="est","est","-")</f>
        <v>-</v>
      </c>
      <c r="E95" s="416" t="s">
        <v>251</v>
      </c>
      <c r="F95" s="419">
        <v>3.7083333333333335</v>
      </c>
      <c r="G95" s="419" t="s">
        <v>244</v>
      </c>
      <c r="H95" s="371"/>
      <c r="I95" s="422"/>
      <c r="J95" s="416" t="s">
        <v>396</v>
      </c>
    </row>
    <row r="96" spans="1:10" ht="9.75" customHeight="1">
      <c r="A96" s="416" t="str">
        <f>'12.lan'!D413</f>
        <v xml:space="preserve">GNQ Equatorial Guinea </v>
      </c>
      <c r="B96" s="416" t="s">
        <v>397</v>
      </c>
      <c r="C96" s="419">
        <f>VLOOKUP(B96,'12.ppp data'!$C$3:$J$273,7,FALSE)</f>
        <v>2.8447864045525897</v>
      </c>
      <c r="D96" s="419" t="str">
        <f>IF(VLOOKUP(B96,'12.ppp data'!$C$3:$J$273,8,FALSE)="est","est","-")</f>
        <v>-</v>
      </c>
      <c r="E96" s="416" t="s">
        <v>251</v>
      </c>
      <c r="F96" s="419">
        <v>3.7083333333333335</v>
      </c>
      <c r="G96" s="419" t="s">
        <v>244</v>
      </c>
      <c r="H96" s="371"/>
      <c r="J96" s="416" t="s">
        <v>398</v>
      </c>
    </row>
    <row r="97" spans="1:10" ht="9.75" customHeight="1">
      <c r="A97" s="416" t="str">
        <f>'12.lan'!D414</f>
        <v xml:space="preserve">GRC Greece </v>
      </c>
      <c r="B97" s="416" t="s">
        <v>399</v>
      </c>
      <c r="C97" s="419">
        <f>VLOOKUP(B97,'12.ppp data'!$C$3:$J$273,7,FALSE)</f>
        <v>1.6836320657828721</v>
      </c>
      <c r="D97" s="419" t="str">
        <f>IF(VLOOKUP(B97,'12.ppp data'!$C$3:$J$273,8,FALSE)="est","est","-")</f>
        <v>-</v>
      </c>
      <c r="E97" s="416" t="s">
        <v>254</v>
      </c>
      <c r="F97" s="419">
        <v>5</v>
      </c>
      <c r="G97" s="419"/>
      <c r="H97" s="371"/>
      <c r="J97" s="416" t="s">
        <v>400</v>
      </c>
    </row>
    <row r="98" spans="1:10" ht="9.75" customHeight="1">
      <c r="A98" s="416" t="str">
        <f>'12.lan'!D415</f>
        <v xml:space="preserve">GRD Grenada </v>
      </c>
      <c r="B98" s="416" t="s">
        <v>401</v>
      </c>
      <c r="C98" s="419">
        <f>VLOOKUP(B98,'12.ppp data'!$C$3:$J$273,7,FALSE)</f>
        <v>1.6245427020829402</v>
      </c>
      <c r="D98" s="419" t="str">
        <f>IF(VLOOKUP(B98,'12.ppp data'!$C$3:$J$273,8,FALSE)="est","est","-")</f>
        <v>-</v>
      </c>
      <c r="E98" s="416" t="s">
        <v>245</v>
      </c>
      <c r="F98" s="419">
        <v>3.4210526315789473</v>
      </c>
      <c r="G98" s="419" t="s">
        <v>244</v>
      </c>
      <c r="H98" s="371"/>
      <c r="J98" s="416" t="s">
        <v>402</v>
      </c>
    </row>
    <row r="99" spans="1:10" ht="9.75" customHeight="1">
      <c r="A99" s="416" t="str">
        <f>'12.lan'!D416</f>
        <v xml:space="preserve">GRL Greenland </v>
      </c>
      <c r="B99" s="416" t="s">
        <v>403</v>
      </c>
      <c r="C99" s="419">
        <f>VLOOKUP(B99,'12.ppp data'!$C$3:$J$273,7,FALSE)</f>
        <v>1.9628994497935313</v>
      </c>
      <c r="D99" s="419" t="str">
        <f>IF(VLOOKUP(B99,'12.ppp data'!$C$3:$J$273,8,FALSE)="est","est","-")</f>
        <v>est</v>
      </c>
      <c r="E99" s="416" t="s">
        <v>245</v>
      </c>
      <c r="F99" s="419">
        <v>3.4210526315789473</v>
      </c>
      <c r="G99" s="419" t="s">
        <v>244</v>
      </c>
      <c r="H99" s="371"/>
      <c r="J99" s="416" t="s">
        <v>404</v>
      </c>
    </row>
    <row r="100" spans="1:10" ht="9.75" customHeight="1">
      <c r="A100" s="416" t="str">
        <f>'12.lan'!D417</f>
        <v xml:space="preserve">GTM Guatemala </v>
      </c>
      <c r="B100" s="416" t="s">
        <v>405</v>
      </c>
      <c r="C100" s="419">
        <f>VLOOKUP(B100,'12.ppp data'!$C$3:$J$273,7,FALSE)</f>
        <v>2.0127896231417131</v>
      </c>
      <c r="D100" s="419" t="str">
        <f>IF(VLOOKUP(B100,'12.ppp data'!$C$3:$J$273,8,FALSE)="est","est","-")</f>
        <v>-</v>
      </c>
      <c r="E100" s="416" t="s">
        <v>245</v>
      </c>
      <c r="F100" s="419">
        <v>5</v>
      </c>
      <c r="G100" s="419"/>
      <c r="H100" s="371"/>
      <c r="J100" s="416" t="s">
        <v>406</v>
      </c>
    </row>
    <row r="101" spans="1:10" ht="9.75" customHeight="1">
      <c r="A101" s="416" t="str">
        <f>'12.lan'!D418</f>
        <v xml:space="preserve">GUM Guam </v>
      </c>
      <c r="B101" s="416" t="s">
        <v>407</v>
      </c>
      <c r="C101" s="419">
        <f>VLOOKUP(B101,'12.ppp data'!$C$3:$J$273,7,FALSE)</f>
        <v>1.3563308370936336</v>
      </c>
      <c r="D101" s="419" t="str">
        <f>IF(VLOOKUP(B101,'12.ppp data'!$C$3:$J$273,8,FALSE)="est","est","-")</f>
        <v>est</v>
      </c>
      <c r="E101" s="416" t="s">
        <v>265</v>
      </c>
      <c r="F101" s="419">
        <v>3</v>
      </c>
      <c r="G101" s="419" t="s">
        <v>244</v>
      </c>
      <c r="H101" s="371"/>
      <c r="J101" s="416" t="s">
        <v>408</v>
      </c>
    </row>
    <row r="102" spans="1:10" ht="9.75" customHeight="1">
      <c r="A102" s="416" t="str">
        <f>'12.lan'!D419</f>
        <v xml:space="preserve">GUY Guyana </v>
      </c>
      <c r="B102" s="416" t="s">
        <v>409</v>
      </c>
      <c r="C102" s="419">
        <f>VLOOKUP(B102,'12.ppp data'!$C$3:$J$273,7,FALSE)</f>
        <v>1.8783649421609236</v>
      </c>
      <c r="D102" s="419" t="str">
        <f>IF(VLOOKUP(B102,'12.ppp data'!$C$3:$J$273,8,FALSE)="est","est","-")</f>
        <v>-</v>
      </c>
      <c r="E102" s="416" t="s">
        <v>245</v>
      </c>
      <c r="F102" s="419">
        <v>3.4210526315789473</v>
      </c>
      <c r="G102" s="419" t="s">
        <v>244</v>
      </c>
      <c r="H102" s="371"/>
      <c r="J102" s="416" t="s">
        <v>410</v>
      </c>
    </row>
    <row r="103" spans="1:10" ht="9.75" customHeight="1">
      <c r="A103" s="416" t="str">
        <f>'12.lan'!D420</f>
        <v xml:space="preserve">HKG Hong Kong </v>
      </c>
      <c r="B103" s="416" t="s">
        <v>411</v>
      </c>
      <c r="C103" s="419">
        <f>VLOOKUP(B103,'12.ppp data'!$C$3:$J$273,7,FALSE)</f>
        <v>1.5045115274191232</v>
      </c>
      <c r="D103" s="419" t="str">
        <f>IF(VLOOKUP(B103,'12.ppp data'!$C$3:$J$273,8,FALSE)="est","est","-")</f>
        <v>-</v>
      </c>
      <c r="E103" s="416" t="s">
        <v>248</v>
      </c>
      <c r="F103" s="419">
        <v>4</v>
      </c>
      <c r="G103" s="419"/>
      <c r="H103" s="371"/>
      <c r="J103" s="416" t="s">
        <v>412</v>
      </c>
    </row>
    <row r="104" spans="1:10" ht="9.75" customHeight="1">
      <c r="A104" s="416" t="str">
        <f>'12.lan'!D421</f>
        <v xml:space="preserve">HND Honduras </v>
      </c>
      <c r="B104" s="416" t="s">
        <v>413</v>
      </c>
      <c r="C104" s="419">
        <f>VLOOKUP(B104,'12.ppp data'!$C$3:$J$273,7,FALSE)</f>
        <v>2.2357860143794994</v>
      </c>
      <c r="D104" s="419" t="str">
        <f>IF(VLOOKUP(B104,'12.ppp data'!$C$3:$J$273,8,FALSE)="est","est","-")</f>
        <v>-</v>
      </c>
      <c r="E104" s="416" t="s">
        <v>245</v>
      </c>
      <c r="F104" s="419">
        <v>4</v>
      </c>
      <c r="G104" s="419"/>
      <c r="H104" s="371"/>
      <c r="J104" s="416" t="s">
        <v>414</v>
      </c>
    </row>
    <row r="105" spans="1:10" ht="9.75" customHeight="1">
      <c r="A105" s="416" t="str">
        <f>'12.lan'!D422</f>
        <v xml:space="preserve">HRV Croatia </v>
      </c>
      <c r="B105" s="416" t="s">
        <v>415</v>
      </c>
      <c r="C105" s="419">
        <f>VLOOKUP(B105,'12.ppp data'!$C$3:$J$273,7,FALSE)</f>
        <v>2.1432779153187802</v>
      </c>
      <c r="D105" s="419" t="str">
        <f>IF(VLOOKUP(B105,'12.ppp data'!$C$3:$J$273,8,FALSE)="est","est","-")</f>
        <v>-</v>
      </c>
      <c r="E105" s="416" t="s">
        <v>254</v>
      </c>
      <c r="F105" s="419">
        <v>2</v>
      </c>
      <c r="G105" s="419"/>
      <c r="H105" s="371"/>
      <c r="J105" s="416" t="s">
        <v>416</v>
      </c>
    </row>
    <row r="106" spans="1:10" ht="9.75" customHeight="1">
      <c r="A106" s="416" t="str">
        <f>'12.lan'!D423</f>
        <v xml:space="preserve">HTI Haiti </v>
      </c>
      <c r="B106" s="416" t="s">
        <v>417</v>
      </c>
      <c r="C106" s="419">
        <f>VLOOKUP(B106,'12.ppp data'!$C$3:$J$273,7,FALSE)</f>
        <v>2.6149917209239768</v>
      </c>
      <c r="D106" s="419" t="str">
        <f>IF(VLOOKUP(B106,'12.ppp data'!$C$3:$J$273,8,FALSE)="est","est","-")</f>
        <v>-</v>
      </c>
      <c r="E106" s="416" t="s">
        <v>245</v>
      </c>
      <c r="F106" s="419">
        <v>3.4210526315789473</v>
      </c>
      <c r="G106" s="419" t="s">
        <v>244</v>
      </c>
      <c r="H106" s="371"/>
      <c r="J106" s="416" t="s">
        <v>418</v>
      </c>
    </row>
    <row r="107" spans="1:10" ht="9.75" customHeight="1">
      <c r="A107" s="416" t="str">
        <f>'12.lan'!D424</f>
        <v xml:space="preserve">HUN Hungary </v>
      </c>
      <c r="B107" s="416" t="s">
        <v>419</v>
      </c>
      <c r="C107" s="419">
        <f>VLOOKUP(B107,'12.ppp data'!$C$3:$J$273,7,FALSE)</f>
        <v>2.2503453362482495</v>
      </c>
      <c r="D107" s="419" t="str">
        <f>IF(VLOOKUP(B107,'12.ppp data'!$C$3:$J$273,8,FALSE)="est","est","-")</f>
        <v>-</v>
      </c>
      <c r="E107" s="416" t="s">
        <v>254</v>
      </c>
      <c r="F107" s="419">
        <v>2</v>
      </c>
      <c r="G107" s="419"/>
      <c r="H107" s="371"/>
      <c r="J107" s="416" t="s">
        <v>420</v>
      </c>
    </row>
    <row r="108" spans="1:10" ht="9.75" customHeight="1">
      <c r="A108" s="416" t="str">
        <f>'12.lan'!D425</f>
        <v xml:space="preserve">IDN Indonesia </v>
      </c>
      <c r="B108" s="416" t="s">
        <v>421</v>
      </c>
      <c r="C108" s="419">
        <f>VLOOKUP(B108,'12.ppp data'!$C$3:$J$273,7,FALSE)</f>
        <v>3.5949148764649079</v>
      </c>
      <c r="D108" s="419" t="str">
        <f>IF(VLOOKUP(B108,'12.ppp data'!$C$3:$J$273,8,FALSE)="est","est","-")</f>
        <v>-</v>
      </c>
      <c r="E108" s="416" t="s">
        <v>248</v>
      </c>
      <c r="F108" s="419">
        <v>4</v>
      </c>
      <c r="G108" s="419"/>
      <c r="H108" s="371"/>
      <c r="J108" s="416" t="s">
        <v>422</v>
      </c>
    </row>
    <row r="109" spans="1:10" ht="9.75" customHeight="1">
      <c r="A109" s="416" t="str">
        <f>'12.lan'!D426</f>
        <v xml:space="preserve">IMN Isle of Man </v>
      </c>
      <c r="B109" s="416" t="s">
        <v>423</v>
      </c>
      <c r="C109" s="419">
        <f>VLOOKUP(B109,'12.ppp data'!$C$3:$J$273,7,FALSE)</f>
        <v>1.9328616451977572</v>
      </c>
      <c r="D109" s="419" t="str">
        <f>IF(VLOOKUP(B109,'12.ppp data'!$C$3:$J$273,8,FALSE)="est","est","-")</f>
        <v>est</v>
      </c>
      <c r="E109" s="416" t="s">
        <v>254</v>
      </c>
      <c r="F109" s="419">
        <v>2</v>
      </c>
      <c r="G109" s="419" t="s">
        <v>244</v>
      </c>
      <c r="H109" s="371"/>
      <c r="J109" s="416" t="s">
        <v>424</v>
      </c>
    </row>
    <row r="110" spans="1:10" ht="9.75" customHeight="1">
      <c r="A110" s="416" t="str">
        <f>'12.lan'!D427</f>
        <v xml:space="preserve">IND India </v>
      </c>
      <c r="B110" s="416" t="s">
        <v>425</v>
      </c>
      <c r="C110" s="419">
        <f>VLOOKUP(B110,'12.ppp data'!$C$3:$J$273,7,FALSE)</f>
        <v>4.1441016395885688</v>
      </c>
      <c r="D110" s="419" t="str">
        <f>IF(VLOOKUP(B110,'12.ppp data'!$C$3:$J$273,8,FALSE)="est","est","-")</f>
        <v>-</v>
      </c>
      <c r="E110" s="416" t="s">
        <v>248</v>
      </c>
      <c r="F110" s="419">
        <v>5</v>
      </c>
      <c r="G110" s="419"/>
      <c r="H110" s="371"/>
      <c r="J110" s="416" t="s">
        <v>426</v>
      </c>
    </row>
    <row r="111" spans="1:10" ht="9.75" customHeight="1">
      <c r="A111" s="416" t="str">
        <f>'12.lan'!D428</f>
        <v xml:space="preserve">IRL Ireland </v>
      </c>
      <c r="B111" s="416" t="s">
        <v>427</v>
      </c>
      <c r="C111" s="419">
        <f>VLOOKUP(B111,'12.ppp data'!$C$3:$J$273,7,FALSE)</f>
        <v>1.2402454693833003</v>
      </c>
      <c r="D111" s="419" t="str">
        <f>IF(VLOOKUP(B111,'12.ppp data'!$C$3:$J$273,8,FALSE)="est","est","-")</f>
        <v>-</v>
      </c>
      <c r="E111" s="416" t="s">
        <v>254</v>
      </c>
      <c r="F111" s="419">
        <v>2</v>
      </c>
      <c r="G111" s="419"/>
      <c r="H111" s="371"/>
      <c r="J111" s="416" t="s">
        <v>428</v>
      </c>
    </row>
    <row r="112" spans="1:10" ht="9.75" customHeight="1">
      <c r="A112" s="416" t="str">
        <f>'12.lan'!D429</f>
        <v xml:space="preserve">IRN Iran, Islamic Republic of </v>
      </c>
      <c r="B112" s="416" t="s">
        <v>429</v>
      </c>
      <c r="C112" s="419">
        <f>VLOOKUP(B112,'12.ppp data'!$C$3:$J$273,7,FALSE)</f>
        <v>4.2651915869606993</v>
      </c>
      <c r="D112" s="419" t="str">
        <f>IF(VLOOKUP(B112,'12.ppp data'!$C$3:$J$273,8,FALSE)="est","est","-")</f>
        <v>-</v>
      </c>
      <c r="E112" s="416" t="s">
        <v>248</v>
      </c>
      <c r="F112" s="419">
        <v>4</v>
      </c>
      <c r="G112" s="419"/>
      <c r="H112" s="371"/>
      <c r="J112" s="416" t="s">
        <v>430</v>
      </c>
    </row>
    <row r="113" spans="1:10" ht="9.75" customHeight="1">
      <c r="A113" s="416" t="str">
        <f>'12.lan'!D430</f>
        <v xml:space="preserve">IRQ Iraq </v>
      </c>
      <c r="B113" s="416" t="s">
        <v>431</v>
      </c>
      <c r="C113" s="419">
        <f>VLOOKUP(B113,'12.ppp data'!$C$3:$J$273,7,FALSE)</f>
        <v>3.6759877714184279</v>
      </c>
      <c r="D113" s="419" t="str">
        <f>IF(VLOOKUP(B113,'12.ppp data'!$C$3:$J$273,8,FALSE)="est","est","-")</f>
        <v>-</v>
      </c>
      <c r="E113" s="416" t="s">
        <v>248</v>
      </c>
      <c r="F113" s="419">
        <v>4</v>
      </c>
      <c r="G113" s="419"/>
      <c r="H113" s="371"/>
      <c r="I113" s="422"/>
      <c r="J113" s="416" t="s">
        <v>432</v>
      </c>
    </row>
    <row r="114" spans="1:10" ht="9.75" customHeight="1">
      <c r="A114" s="416" t="str">
        <f>'12.lan'!D431</f>
        <v xml:space="preserve">ISL Iceland </v>
      </c>
      <c r="B114" s="416" t="s">
        <v>433</v>
      </c>
      <c r="C114" s="419">
        <f>VLOOKUP(B114,'12.ppp data'!$C$3:$J$273,7,FALSE)</f>
        <v>0.8592191515177231</v>
      </c>
      <c r="D114" s="419" t="str">
        <f>IF(VLOOKUP(B114,'12.ppp data'!$C$3:$J$273,8,FALSE)="est","est","-")</f>
        <v>-</v>
      </c>
      <c r="E114" s="416" t="s">
        <v>254</v>
      </c>
      <c r="F114" s="419">
        <v>1</v>
      </c>
      <c r="G114" s="419"/>
      <c r="H114" s="371"/>
      <c r="J114" s="416" t="s">
        <v>434</v>
      </c>
    </row>
    <row r="115" spans="1:10" ht="9.75" customHeight="1">
      <c r="A115" s="416" t="str">
        <f>'12.lan'!D432</f>
        <v xml:space="preserve">ISR Israel </v>
      </c>
      <c r="B115" s="416" t="s">
        <v>435</v>
      </c>
      <c r="C115" s="419">
        <f>VLOOKUP(B115,'12.ppp data'!$C$3:$J$273,7,FALSE)</f>
        <v>1.0762143045253052</v>
      </c>
      <c r="D115" s="419" t="str">
        <f>IF(VLOOKUP(B115,'12.ppp data'!$C$3:$J$273,8,FALSE)="est","est","-")</f>
        <v>-</v>
      </c>
      <c r="E115" s="416" t="s">
        <v>248</v>
      </c>
      <c r="F115" s="419">
        <v>3</v>
      </c>
      <c r="G115" s="419"/>
      <c r="H115" s="371"/>
      <c r="J115" s="416" t="s">
        <v>436</v>
      </c>
    </row>
    <row r="116" spans="1:10" ht="9.75" customHeight="1">
      <c r="A116" s="416" t="str">
        <f>'12.lan'!D433</f>
        <v xml:space="preserve">ITA Italy </v>
      </c>
      <c r="B116" s="416" t="s">
        <v>437</v>
      </c>
      <c r="C116" s="419">
        <f>VLOOKUP(B116,'12.ppp data'!$C$3:$J$273,7,FALSE)</f>
        <v>1.4042379902545883</v>
      </c>
      <c r="D116" s="419" t="str">
        <f>IF(VLOOKUP(B116,'12.ppp data'!$C$3:$J$273,8,FALSE)="est","est","-")</f>
        <v>-</v>
      </c>
      <c r="E116" s="416" t="s">
        <v>254</v>
      </c>
      <c r="F116" s="419">
        <v>1</v>
      </c>
      <c r="G116" s="419"/>
      <c r="H116" s="371"/>
      <c r="J116" s="416" t="s">
        <v>438</v>
      </c>
    </row>
    <row r="117" spans="1:10" ht="9.75" customHeight="1">
      <c r="A117" s="416" t="str">
        <f>'12.lan'!D434</f>
        <v xml:space="preserve">JAM Jamaica </v>
      </c>
      <c r="B117" s="416" t="s">
        <v>439</v>
      </c>
      <c r="C117" s="419">
        <f>VLOOKUP(B117,'12.ppp data'!$C$3:$J$273,7,FALSE)</f>
        <v>1.971695940369244</v>
      </c>
      <c r="D117" s="419" t="str">
        <f>IF(VLOOKUP(B117,'12.ppp data'!$C$3:$J$273,8,FALSE)="est","est","-")</f>
        <v>-</v>
      </c>
      <c r="E117" s="416" t="s">
        <v>245</v>
      </c>
      <c r="F117" s="419">
        <v>3.4210526315789473</v>
      </c>
      <c r="G117" s="419" t="s">
        <v>244</v>
      </c>
      <c r="H117" s="371"/>
      <c r="J117" s="416" t="s">
        <v>440</v>
      </c>
    </row>
    <row r="118" spans="1:10" ht="9.75" customHeight="1">
      <c r="A118" s="416" t="str">
        <f>'12.lan'!D435</f>
        <v xml:space="preserve">JOR Jordan </v>
      </c>
      <c r="B118" s="416" t="s">
        <v>441</v>
      </c>
      <c r="C118" s="419">
        <f>VLOOKUP(B118,'12.ppp data'!$C$3:$J$273,7,FALSE)</f>
        <v>2.4925530650495307</v>
      </c>
      <c r="D118" s="419" t="str">
        <f>IF(VLOOKUP(B118,'12.ppp data'!$C$3:$J$273,8,FALSE)="est","est","-")</f>
        <v>-</v>
      </c>
      <c r="E118" s="416" t="s">
        <v>248</v>
      </c>
      <c r="F118" s="419">
        <v>4</v>
      </c>
      <c r="G118" s="419"/>
      <c r="H118" s="371"/>
      <c r="J118" s="416" t="s">
        <v>442</v>
      </c>
    </row>
    <row r="119" spans="1:10" ht="9.75" customHeight="1">
      <c r="A119" s="416" t="str">
        <f>'12.lan'!D436</f>
        <v xml:space="preserve">JPN Japan </v>
      </c>
      <c r="B119" s="416" t="s">
        <v>443</v>
      </c>
      <c r="C119" s="419">
        <f>VLOOKUP(B119,'12.ppp data'!$C$3:$J$273,7,FALSE)</f>
        <v>1.289408120101881</v>
      </c>
      <c r="D119" s="419" t="str">
        <f>IF(VLOOKUP(B119,'12.ppp data'!$C$3:$J$273,8,FALSE)="est","est","-")</f>
        <v>-</v>
      </c>
      <c r="E119" s="416" t="s">
        <v>248</v>
      </c>
      <c r="F119" s="419">
        <v>2</v>
      </c>
      <c r="G119" s="419"/>
      <c r="H119" s="371"/>
      <c r="J119" s="416" t="s">
        <v>444</v>
      </c>
    </row>
    <row r="120" spans="1:10" ht="9.75" customHeight="1">
      <c r="A120" s="416" t="str">
        <f>'12.lan'!D437</f>
        <v xml:space="preserve">KAZ Kazakhstan </v>
      </c>
      <c r="B120" s="416" t="s">
        <v>445</v>
      </c>
      <c r="C120" s="419">
        <f>VLOOKUP(B120,'12.ppp data'!$C$3:$J$273,7,FALSE)</f>
        <v>3.3588315181911566</v>
      </c>
      <c r="D120" s="419" t="str">
        <f>IF(VLOOKUP(B120,'12.ppp data'!$C$3:$J$273,8,FALSE)="est","est","-")</f>
        <v>-</v>
      </c>
      <c r="E120" s="416" t="s">
        <v>248</v>
      </c>
      <c r="F120" s="419">
        <v>4.1785714285714288</v>
      </c>
      <c r="G120" s="419" t="s">
        <v>244</v>
      </c>
      <c r="H120" s="371"/>
      <c r="J120" s="416" t="s">
        <v>446</v>
      </c>
    </row>
    <row r="121" spans="1:10" ht="9.75" customHeight="1">
      <c r="A121" s="416" t="str">
        <f>'12.lan'!D438</f>
        <v xml:space="preserve">KEN Kenya </v>
      </c>
      <c r="B121" s="416" t="s">
        <v>447</v>
      </c>
      <c r="C121" s="419">
        <f>VLOOKUP(B121,'12.ppp data'!$C$3:$J$273,7,FALSE)</f>
        <v>2.4223625817382604</v>
      </c>
      <c r="D121" s="419" t="str">
        <f>IF(VLOOKUP(B121,'12.ppp data'!$C$3:$J$273,8,FALSE)="est","est","-")</f>
        <v>-</v>
      </c>
      <c r="E121" s="416" t="s">
        <v>251</v>
      </c>
      <c r="F121" s="419">
        <v>4</v>
      </c>
      <c r="G121" s="419"/>
      <c r="H121" s="371"/>
      <c r="J121" s="416" t="s">
        <v>448</v>
      </c>
    </row>
    <row r="122" spans="1:10" ht="9.75" customHeight="1">
      <c r="A122" s="416" t="str">
        <f>'12.lan'!D439</f>
        <v xml:space="preserve">KGZ Kyrgyzstan </v>
      </c>
      <c r="B122" s="416" t="s">
        <v>449</v>
      </c>
      <c r="C122" s="419">
        <f>VLOOKUP(B122,'12.ppp data'!$C$3:$J$273,7,FALSE)</f>
        <v>3.4494948712057099</v>
      </c>
      <c r="D122" s="419" t="str">
        <f>IF(VLOOKUP(B122,'12.ppp data'!$C$3:$J$273,8,FALSE)="est","est","-")</f>
        <v>-</v>
      </c>
      <c r="E122" s="416" t="s">
        <v>248</v>
      </c>
      <c r="F122" s="419">
        <v>4.1785714285714288</v>
      </c>
      <c r="G122" s="419" t="s">
        <v>244</v>
      </c>
      <c r="H122" s="371"/>
      <c r="J122" s="416" t="s">
        <v>450</v>
      </c>
    </row>
    <row r="123" spans="1:10" ht="9.75" customHeight="1">
      <c r="A123" s="416" t="str">
        <f>'12.lan'!D440</f>
        <v xml:space="preserve">KHM Cambodia </v>
      </c>
      <c r="B123" s="416" t="s">
        <v>451</v>
      </c>
      <c r="C123" s="419">
        <f>VLOOKUP(B123,'12.ppp data'!$C$3:$J$273,7,FALSE)</f>
        <v>3.2098097333169209</v>
      </c>
      <c r="D123" s="419" t="str">
        <f>IF(VLOOKUP(B123,'12.ppp data'!$C$3:$J$273,8,FALSE)="est","est","-")</f>
        <v>-</v>
      </c>
      <c r="E123" s="416" t="s">
        <v>248</v>
      </c>
      <c r="F123" s="419">
        <v>5</v>
      </c>
      <c r="G123" s="419"/>
      <c r="H123" s="371"/>
      <c r="J123" s="416" t="s">
        <v>452</v>
      </c>
    </row>
    <row r="124" spans="1:10" ht="9.75" customHeight="1">
      <c r="A124" s="416" t="str">
        <f>'12.lan'!D441</f>
        <v xml:space="preserve">KIR Kiribati </v>
      </c>
      <c r="B124" s="416" t="s">
        <v>453</v>
      </c>
      <c r="C124" s="419">
        <f>VLOOKUP(B124,'12.ppp data'!$C$3:$J$273,7,FALSE)</f>
        <v>1.4578886144399337</v>
      </c>
      <c r="D124" s="419" t="str">
        <f>IF(VLOOKUP(B124,'12.ppp data'!$C$3:$J$273,8,FALSE)="est","est","-")</f>
        <v>-</v>
      </c>
      <c r="E124" s="416" t="s">
        <v>265</v>
      </c>
      <c r="F124" s="419">
        <v>3</v>
      </c>
      <c r="G124" s="419" t="s">
        <v>244</v>
      </c>
      <c r="H124" s="371"/>
      <c r="J124" s="416" t="s">
        <v>454</v>
      </c>
    </row>
    <row r="125" spans="1:10" ht="9.75" customHeight="1">
      <c r="A125" s="416" t="str">
        <f>'12.lan'!D442</f>
        <v xml:space="preserve">KNA Saint Kitts and Nevis </v>
      </c>
      <c r="B125" s="416" t="s">
        <v>455</v>
      </c>
      <c r="C125" s="419">
        <f>VLOOKUP(B125,'12.ppp data'!$C$3:$J$273,7,FALSE)</f>
        <v>1.7888565277997799</v>
      </c>
      <c r="D125" s="419" t="str">
        <f>IF(VLOOKUP(B125,'12.ppp data'!$C$3:$J$273,8,FALSE)="est","est","-")</f>
        <v>-</v>
      </c>
      <c r="E125" s="416" t="s">
        <v>245</v>
      </c>
      <c r="F125" s="419">
        <v>3.4210526315789473</v>
      </c>
      <c r="G125" s="419" t="s">
        <v>244</v>
      </c>
      <c r="H125" s="371"/>
      <c r="J125" s="416" t="s">
        <v>456</v>
      </c>
    </row>
    <row r="126" spans="1:10" ht="9.75" customHeight="1">
      <c r="A126" s="416" t="str">
        <f>'12.lan'!D443</f>
        <v xml:space="preserve">KOR Korea, Republic of </v>
      </c>
      <c r="B126" s="416" t="s">
        <v>457</v>
      </c>
      <c r="C126" s="419">
        <f>VLOOKUP(B126,'12.ppp data'!$C$3:$J$273,7,FALSE)</f>
        <v>1.4506518569594702</v>
      </c>
      <c r="D126" s="419" t="str">
        <f>IF(VLOOKUP(B126,'12.ppp data'!$C$3:$J$273,8,FALSE)="est","est","-")</f>
        <v>-</v>
      </c>
      <c r="E126" s="416" t="s">
        <v>248</v>
      </c>
      <c r="F126" s="419">
        <v>5</v>
      </c>
      <c r="G126" s="419"/>
      <c r="H126" s="371"/>
      <c r="J126" s="416" t="s">
        <v>458</v>
      </c>
    </row>
    <row r="127" spans="1:10" ht="9.75" customHeight="1">
      <c r="A127" s="416" t="str">
        <f>'12.lan'!D444</f>
        <v xml:space="preserve">KWT Kuwait </v>
      </c>
      <c r="B127" s="416" t="s">
        <v>459</v>
      </c>
      <c r="C127" s="419">
        <f>VLOOKUP(B127,'12.ppp data'!$C$3:$J$273,7,FALSE)</f>
        <v>2.7936161920559552</v>
      </c>
      <c r="D127" s="419" t="str">
        <f>IF(VLOOKUP(B127,'12.ppp data'!$C$3:$J$273,8,FALSE)="est","est","-")</f>
        <v>-</v>
      </c>
      <c r="E127" s="416" t="s">
        <v>248</v>
      </c>
      <c r="F127" s="419">
        <v>4.1785714285714288</v>
      </c>
      <c r="G127" s="419" t="s">
        <v>244</v>
      </c>
      <c r="H127" s="371"/>
      <c r="J127" s="416" t="s">
        <v>460</v>
      </c>
    </row>
    <row r="128" spans="1:10" ht="9.75" customHeight="1">
      <c r="A128" s="416" t="str">
        <f>'12.lan'!D445</f>
        <v xml:space="preserve">LAO Lao People's Democratic Republic </v>
      </c>
      <c r="B128" s="416" t="s">
        <v>461</v>
      </c>
      <c r="C128" s="419">
        <f>VLOOKUP(B128,'12.ppp data'!$C$3:$J$273,7,FALSE)</f>
        <v>3.1322620381478607</v>
      </c>
      <c r="D128" s="419" t="str">
        <f>IF(VLOOKUP(B128,'12.ppp data'!$C$3:$J$273,8,FALSE)="est","est","-")</f>
        <v>-</v>
      </c>
      <c r="E128" s="416" t="s">
        <v>248</v>
      </c>
      <c r="F128" s="419">
        <v>4.1785714285714288</v>
      </c>
      <c r="G128" s="419" t="s">
        <v>244</v>
      </c>
      <c r="H128" s="371"/>
      <c r="J128" s="416" t="s">
        <v>462</v>
      </c>
    </row>
    <row r="129" spans="1:10" ht="9.75" customHeight="1">
      <c r="A129" s="416" t="str">
        <f>'12.lan'!D446</f>
        <v xml:space="preserve">LBN Lebanon </v>
      </c>
      <c r="B129" s="416" t="s">
        <v>463</v>
      </c>
      <c r="C129" s="419">
        <f>VLOOKUP(B129,'12.ppp data'!$C$3:$J$273,7,FALSE)</f>
        <v>1.9167268969756734</v>
      </c>
      <c r="D129" s="419" t="str">
        <f>IF(VLOOKUP(B129,'12.ppp data'!$C$3:$J$273,8,FALSE)="est","est","-")</f>
        <v>-</v>
      </c>
      <c r="E129" s="416" t="s">
        <v>248</v>
      </c>
      <c r="F129" s="419">
        <v>4</v>
      </c>
      <c r="G129" s="419"/>
      <c r="H129" s="371"/>
      <c r="J129" s="416" t="s">
        <v>464</v>
      </c>
    </row>
    <row r="130" spans="1:10" ht="9.75" customHeight="1">
      <c r="A130" s="416" t="str">
        <f>'12.lan'!D447</f>
        <v xml:space="preserve">LBR Liberia </v>
      </c>
      <c r="B130" s="416" t="s">
        <v>465</v>
      </c>
      <c r="C130" s="419">
        <f>VLOOKUP(B130,'12.ppp data'!$C$3:$J$273,7,FALSE)</f>
        <v>3.0325616327831186</v>
      </c>
      <c r="D130" s="419" t="str">
        <f>IF(VLOOKUP(B130,'12.ppp data'!$C$3:$J$273,8,FALSE)="est","est","-")</f>
        <v>est</v>
      </c>
      <c r="E130" s="416" t="s">
        <v>251</v>
      </c>
      <c r="F130" s="419">
        <v>3.7083333333333335</v>
      </c>
      <c r="G130" s="419" t="s">
        <v>244</v>
      </c>
      <c r="H130" s="371"/>
      <c r="J130" s="416" t="s">
        <v>466</v>
      </c>
    </row>
    <row r="131" spans="1:10" ht="9.75" customHeight="1">
      <c r="A131" s="416" t="str">
        <f>'12.lan'!D448</f>
        <v xml:space="preserve">LBY Libya </v>
      </c>
      <c r="B131" s="416" t="s">
        <v>467</v>
      </c>
      <c r="C131" s="419">
        <f>VLOOKUP(B131,'12.ppp data'!$C$3:$J$273,7,FALSE)</f>
        <v>2.7429361769978748</v>
      </c>
      <c r="D131" s="419" t="str">
        <f>IF(VLOOKUP(B131,'12.ppp data'!$C$3:$J$273,8,FALSE)="est","est","-")</f>
        <v>-</v>
      </c>
      <c r="E131" s="416" t="s">
        <v>251</v>
      </c>
      <c r="F131" s="419">
        <v>6</v>
      </c>
      <c r="G131" s="419"/>
      <c r="H131" s="371"/>
      <c r="J131" s="416" t="s">
        <v>468</v>
      </c>
    </row>
    <row r="132" spans="1:10" ht="9.75" customHeight="1">
      <c r="A132" s="416" t="str">
        <f>'12.lan'!D449</f>
        <v xml:space="preserve">LCA Saint Lucia </v>
      </c>
      <c r="B132" s="416" t="s">
        <v>469</v>
      </c>
      <c r="C132" s="419">
        <f>VLOOKUP(B132,'12.ppp data'!$C$3:$J$273,7,FALSE)</f>
        <v>1.6774576013408569</v>
      </c>
      <c r="D132" s="419" t="str">
        <f>IF(VLOOKUP(B132,'12.ppp data'!$C$3:$J$273,8,FALSE)="est","est","-")</f>
        <v>-</v>
      </c>
      <c r="E132" s="416" t="s">
        <v>245</v>
      </c>
      <c r="F132" s="419">
        <v>3.4210526315789473</v>
      </c>
      <c r="G132" s="419" t="s">
        <v>244</v>
      </c>
      <c r="H132" s="371"/>
      <c r="J132" s="416" t="s">
        <v>470</v>
      </c>
    </row>
    <row r="133" spans="1:10" ht="9.75" customHeight="1">
      <c r="A133" s="416" t="str">
        <f>'12.lan'!D450</f>
        <v xml:space="preserve">LIE Liechtenstein </v>
      </c>
      <c r="B133" s="416" t="s">
        <v>471</v>
      </c>
      <c r="C133" s="419">
        <f>VLOOKUP(B133,'12.ppp data'!$C$3:$J$273,7,FALSE)</f>
        <v>1.9328616451977572</v>
      </c>
      <c r="D133" s="419" t="str">
        <f>IF(VLOOKUP(B133,'12.ppp data'!$C$3:$J$273,8,FALSE)="est","est","-")</f>
        <v>est</v>
      </c>
      <c r="E133" s="416" t="s">
        <v>254</v>
      </c>
      <c r="F133" s="419">
        <v>2</v>
      </c>
      <c r="G133" s="419" t="s">
        <v>244</v>
      </c>
      <c r="H133" s="371"/>
      <c r="J133" s="416" t="s">
        <v>472</v>
      </c>
    </row>
    <row r="134" spans="1:10" ht="9.75" customHeight="1">
      <c r="A134" s="416" t="str">
        <f>'12.lan'!D451</f>
        <v xml:space="preserve">LKA Sri Lanka </v>
      </c>
      <c r="B134" s="416" t="s">
        <v>473</v>
      </c>
      <c r="C134" s="419">
        <f>VLOOKUP(B134,'12.ppp data'!$C$3:$J$273,7,FALSE)</f>
        <v>3.5153613362075382</v>
      </c>
      <c r="D134" s="419" t="str">
        <f>IF(VLOOKUP(B134,'12.ppp data'!$C$3:$J$273,8,FALSE)="est","est","-")</f>
        <v>-</v>
      </c>
      <c r="E134" s="416" t="s">
        <v>248</v>
      </c>
      <c r="F134" s="419">
        <v>3</v>
      </c>
      <c r="G134" s="419"/>
      <c r="J134" s="416" t="s">
        <v>474</v>
      </c>
    </row>
    <row r="135" spans="1:10" ht="9.75" customHeight="1">
      <c r="A135" s="416" t="str">
        <f>'12.lan'!D452</f>
        <v xml:space="preserve">LSO Lesotho </v>
      </c>
      <c r="B135" s="416" t="s">
        <v>475</v>
      </c>
      <c r="C135" s="419">
        <f>VLOOKUP(B135,'12.ppp data'!$C$3:$J$273,7,FALSE)</f>
        <v>2.9838131733892213</v>
      </c>
      <c r="D135" s="419" t="str">
        <f>IF(VLOOKUP(B135,'12.ppp data'!$C$3:$J$273,8,FALSE)="est","est","-")</f>
        <v>-</v>
      </c>
      <c r="E135" s="416" t="s">
        <v>251</v>
      </c>
      <c r="F135" s="419">
        <v>3.7083333333333335</v>
      </c>
      <c r="G135" s="419" t="s">
        <v>244</v>
      </c>
      <c r="J135" s="416" t="s">
        <v>476</v>
      </c>
    </row>
    <row r="136" spans="1:10" ht="9.75" customHeight="1">
      <c r="A136" s="416" t="str">
        <f>'12.lan'!D453</f>
        <v xml:space="preserve">LTU Lithuania </v>
      </c>
      <c r="B136" s="416" t="s">
        <v>477</v>
      </c>
      <c r="C136" s="419">
        <f>VLOOKUP(B136,'12.ppp data'!$C$3:$J$273,7,FALSE)</f>
        <v>2.1680617670991795</v>
      </c>
      <c r="D136" s="419" t="str">
        <f>IF(VLOOKUP(B136,'12.ppp data'!$C$3:$J$273,8,FALSE)="est","est","-")</f>
        <v>-</v>
      </c>
      <c r="E136" s="416" t="s">
        <v>254</v>
      </c>
      <c r="F136" s="419">
        <v>1</v>
      </c>
      <c r="G136" s="419"/>
      <c r="J136" s="416" t="s">
        <v>478</v>
      </c>
    </row>
    <row r="137" spans="1:10" ht="12.75" customHeight="1">
      <c r="A137" s="416" t="str">
        <f>'12.lan'!D454</f>
        <v xml:space="preserve">LUX Luxembourg </v>
      </c>
      <c r="B137" s="416" t="s">
        <v>479</v>
      </c>
      <c r="C137" s="419">
        <f>VLOOKUP(B137,'12.ppp data'!$C$3:$J$273,7,FALSE)</f>
        <v>1.1221140628944932</v>
      </c>
      <c r="D137" s="419" t="str">
        <f>IF(VLOOKUP(B137,'12.ppp data'!$C$3:$J$273,8,FALSE)="est","est","-")</f>
        <v>-</v>
      </c>
      <c r="E137" s="416" t="s">
        <v>254</v>
      </c>
      <c r="F137" s="419">
        <v>2</v>
      </c>
      <c r="G137" s="419" t="s">
        <v>244</v>
      </c>
      <c r="H137" s="423"/>
      <c r="I137" s="423"/>
      <c r="J137" s="416" t="s">
        <v>480</v>
      </c>
    </row>
    <row r="138" spans="1:10" ht="9.75" customHeight="1">
      <c r="A138" s="416" t="str">
        <f>'12.lan'!D455</f>
        <v xml:space="preserve">LVA Latvia </v>
      </c>
      <c r="B138" s="416" t="s">
        <v>481</v>
      </c>
      <c r="C138" s="419">
        <f>VLOOKUP(B138,'12.ppp data'!$C$3:$J$273,7,FALSE)</f>
        <v>1.9943396855928879</v>
      </c>
      <c r="D138" s="419" t="str">
        <f>IF(VLOOKUP(B138,'12.ppp data'!$C$3:$J$273,8,FALSE)="est","est","-")</f>
        <v>-</v>
      </c>
      <c r="E138" s="416" t="s">
        <v>254</v>
      </c>
      <c r="F138" s="419">
        <v>2</v>
      </c>
      <c r="G138" s="419"/>
      <c r="H138" s="371"/>
      <c r="J138" s="416" t="s">
        <v>482</v>
      </c>
    </row>
    <row r="139" spans="1:10" ht="9.75" customHeight="1">
      <c r="A139" s="416" t="str">
        <f>'12.lan'!D456</f>
        <v xml:space="preserve">MAC Macao </v>
      </c>
      <c r="B139" s="416" t="s">
        <v>483</v>
      </c>
      <c r="C139" s="419">
        <f>VLOOKUP(B139,'12.ppp data'!$C$3:$J$273,7,FALSE)</f>
        <v>1.5732384462091706</v>
      </c>
      <c r="D139" s="419" t="str">
        <f>IF(VLOOKUP(B139,'12.ppp data'!$C$3:$J$273,8,FALSE)="est","est","-")</f>
        <v>-</v>
      </c>
      <c r="E139" s="416" t="s">
        <v>248</v>
      </c>
      <c r="F139" s="419">
        <v>4.1785714285714288</v>
      </c>
      <c r="G139" s="419" t="s">
        <v>244</v>
      </c>
      <c r="H139" s="371"/>
      <c r="J139" s="416" t="s">
        <v>484</v>
      </c>
    </row>
    <row r="140" spans="1:10" ht="9.75" customHeight="1">
      <c r="A140" s="416" t="str">
        <f>'12.lan'!D457</f>
        <v xml:space="preserve">MAF Saint Martin (French part) </v>
      </c>
      <c r="B140" s="416" t="s">
        <v>485</v>
      </c>
      <c r="C140" s="419">
        <f>VLOOKUP(B140,'12.ppp data'!$C$3:$J$273,7,FALSE)</f>
        <v>1.9628994497935313</v>
      </c>
      <c r="D140" s="419" t="str">
        <f>IF(VLOOKUP(B140,'12.ppp data'!$C$3:$J$273,8,FALSE)="est","est","-")</f>
        <v>est</v>
      </c>
      <c r="E140" s="416" t="s">
        <v>245</v>
      </c>
      <c r="F140" s="419">
        <v>3.4210526315789473</v>
      </c>
      <c r="G140" s="419" t="s">
        <v>244</v>
      </c>
      <c r="H140" s="371"/>
      <c r="J140" s="416" t="s">
        <v>486</v>
      </c>
    </row>
    <row r="141" spans="1:10" ht="9.75" customHeight="1">
      <c r="A141" s="416" t="str">
        <f>'12.lan'!D458</f>
        <v xml:space="preserve">MAR Morocco </v>
      </c>
      <c r="B141" s="416" t="s">
        <v>487</v>
      </c>
      <c r="C141" s="419">
        <f>VLOOKUP(B141,'12.ppp data'!$C$3:$J$273,7,FALSE)</f>
        <v>3.0507020343760036</v>
      </c>
      <c r="D141" s="419" t="str">
        <f>IF(VLOOKUP(B141,'12.ppp data'!$C$3:$J$273,8,FALSE)="est","est","-")</f>
        <v>-</v>
      </c>
      <c r="E141" s="416" t="s">
        <v>251</v>
      </c>
      <c r="F141" s="419">
        <v>4</v>
      </c>
      <c r="G141" s="419"/>
      <c r="H141" s="371"/>
      <c r="J141" s="416" t="s">
        <v>488</v>
      </c>
    </row>
    <row r="142" spans="1:10" ht="9.75" customHeight="1">
      <c r="A142" s="416" t="str">
        <f>'12.lan'!D459</f>
        <v xml:space="preserve">MCO Monaco </v>
      </c>
      <c r="B142" s="416" t="s">
        <v>489</v>
      </c>
      <c r="C142" s="419">
        <f>VLOOKUP(B142,'12.ppp data'!$C$3:$J$273,7,FALSE)</f>
        <v>1.9328616451977572</v>
      </c>
      <c r="D142" s="419" t="str">
        <f>IF(VLOOKUP(B142,'12.ppp data'!$C$3:$J$273,8,FALSE)="est","est","-")</f>
        <v>est</v>
      </c>
      <c r="E142" s="416" t="s">
        <v>254</v>
      </c>
      <c r="F142" s="419">
        <v>2</v>
      </c>
      <c r="G142" s="419" t="s">
        <v>244</v>
      </c>
      <c r="H142" s="371"/>
      <c r="J142" s="416" t="s">
        <v>490</v>
      </c>
    </row>
    <row r="143" spans="1:10" ht="9.75" customHeight="1">
      <c r="A143" s="416" t="str">
        <f>'12.lan'!D460</f>
        <v xml:space="preserve">MDA Moldova, Republic of </v>
      </c>
      <c r="B143" s="416" t="s">
        <v>491</v>
      </c>
      <c r="C143" s="419">
        <f>VLOOKUP(B143,'12.ppp data'!$C$3:$J$273,7,FALSE)</f>
        <v>2.7670105137219925</v>
      </c>
      <c r="D143" s="419" t="str">
        <f>IF(VLOOKUP(B143,'12.ppp data'!$C$3:$J$273,8,FALSE)="est","est","-")</f>
        <v>-</v>
      </c>
      <c r="E143" s="416" t="s">
        <v>254</v>
      </c>
      <c r="F143" s="419">
        <v>2</v>
      </c>
      <c r="G143" s="419" t="s">
        <v>244</v>
      </c>
      <c r="H143" s="371"/>
      <c r="J143" s="416" t="s">
        <v>492</v>
      </c>
    </row>
    <row r="144" spans="1:10" ht="9.75" customHeight="1">
      <c r="A144" s="416" t="str">
        <f>'12.lan'!D461</f>
        <v xml:space="preserve">MDG Madagascar </v>
      </c>
      <c r="B144" s="416" t="s">
        <v>493</v>
      </c>
      <c r="C144" s="419">
        <f>VLOOKUP(B144,'12.ppp data'!$C$3:$J$273,7,FALSE)</f>
        <v>3.8637777031581284</v>
      </c>
      <c r="D144" s="419" t="str">
        <f>IF(VLOOKUP(B144,'12.ppp data'!$C$3:$J$273,8,FALSE)="est","est","-")</f>
        <v>-</v>
      </c>
      <c r="E144" s="416" t="s">
        <v>251</v>
      </c>
      <c r="F144" s="419">
        <v>3.7083333333333335</v>
      </c>
      <c r="G144" s="419" t="s">
        <v>244</v>
      </c>
      <c r="H144" s="371"/>
      <c r="J144" s="416" t="s">
        <v>494</v>
      </c>
    </row>
    <row r="145" spans="1:10" ht="9.75" customHeight="1">
      <c r="A145" s="416" t="str">
        <f>'12.lan'!D462</f>
        <v xml:space="preserve">MDV Maldives </v>
      </c>
      <c r="B145" s="416" t="s">
        <v>495</v>
      </c>
      <c r="C145" s="419">
        <f>VLOOKUP(B145,'12.ppp data'!$C$3:$J$273,7,FALSE)</f>
        <v>1.7711325139780212</v>
      </c>
      <c r="D145" s="419" t="str">
        <f>IF(VLOOKUP(B145,'12.ppp data'!$C$3:$J$273,8,FALSE)="est","est","-")</f>
        <v>-</v>
      </c>
      <c r="E145" s="416" t="s">
        <v>248</v>
      </c>
      <c r="F145" s="419">
        <v>4.1785714285714288</v>
      </c>
      <c r="G145" s="419" t="s">
        <v>244</v>
      </c>
      <c r="H145" s="371"/>
      <c r="J145" s="416" t="s">
        <v>496</v>
      </c>
    </row>
    <row r="146" spans="1:10" ht="9.75" customHeight="1">
      <c r="A146" s="416" t="str">
        <f>'12.lan'!D463</f>
        <v xml:space="preserve">MEX Mexico </v>
      </c>
      <c r="B146" s="416" t="s">
        <v>497</v>
      </c>
      <c r="C146" s="419">
        <f>VLOOKUP(B146,'12.ppp data'!$C$3:$J$273,7,FALSE)</f>
        <v>2.2994533112823494</v>
      </c>
      <c r="D146" s="419" t="str">
        <f>IF(VLOOKUP(B146,'12.ppp data'!$C$3:$J$273,8,FALSE)="est","est","-")</f>
        <v>-</v>
      </c>
      <c r="E146" s="416" t="s">
        <v>245</v>
      </c>
      <c r="F146" s="419">
        <v>4</v>
      </c>
      <c r="G146" s="419"/>
      <c r="H146" s="371"/>
      <c r="J146" s="416" t="s">
        <v>498</v>
      </c>
    </row>
    <row r="147" spans="1:10" ht="9.75" customHeight="1">
      <c r="A147" s="416" t="str">
        <f>'12.lan'!D464</f>
        <v xml:space="preserve">MHL Marshall Islands </v>
      </c>
      <c r="B147" s="416" t="s">
        <v>499</v>
      </c>
      <c r="C147" s="419">
        <f>VLOOKUP(B147,'12.ppp data'!$C$3:$J$273,7,FALSE)</f>
        <v>1.2618033753819571</v>
      </c>
      <c r="D147" s="419" t="str">
        <f>IF(VLOOKUP(B147,'12.ppp data'!$C$3:$J$273,8,FALSE)="est","est","-")</f>
        <v>-</v>
      </c>
      <c r="E147" s="416" t="s">
        <v>265</v>
      </c>
      <c r="F147" s="419">
        <v>3</v>
      </c>
      <c r="G147" s="419" t="s">
        <v>244</v>
      </c>
      <c r="H147" s="371"/>
      <c r="J147" s="416" t="s">
        <v>500</v>
      </c>
    </row>
    <row r="148" spans="1:10" ht="9.75" customHeight="1">
      <c r="A148" s="416" t="str">
        <f>'12.lan'!D465</f>
        <v xml:space="preserve">MKD Macedonia, The Former Yugoslav Republic of </v>
      </c>
      <c r="B148" s="416" t="s">
        <v>501</v>
      </c>
      <c r="C148" s="419">
        <f>VLOOKUP(B148,'12.ppp data'!$C$3:$J$273,7,FALSE)</f>
        <v>3.1366359337907035</v>
      </c>
      <c r="D148" s="419" t="str">
        <f>IF(VLOOKUP(B148,'12.ppp data'!$C$3:$J$273,8,FALSE)="est","est","-")</f>
        <v>-</v>
      </c>
      <c r="E148" s="416" t="s">
        <v>254</v>
      </c>
      <c r="F148" s="419">
        <v>2</v>
      </c>
      <c r="G148" s="419" t="s">
        <v>244</v>
      </c>
      <c r="H148" s="371"/>
      <c r="J148" s="416" t="s">
        <v>502</v>
      </c>
    </row>
    <row r="149" spans="1:10" ht="9.75" customHeight="1">
      <c r="A149" s="416" t="str">
        <f>'12.lan'!D466</f>
        <v xml:space="preserve">MLI Mali </v>
      </c>
      <c r="B149" s="416" t="s">
        <v>503</v>
      </c>
      <c r="C149" s="419">
        <f>VLOOKUP(B149,'12.ppp data'!$C$3:$J$273,7,FALSE)</f>
        <v>3.0266697017457096</v>
      </c>
      <c r="D149" s="419" t="str">
        <f>IF(VLOOKUP(B149,'12.ppp data'!$C$3:$J$273,8,FALSE)="est","est","-")</f>
        <v>-</v>
      </c>
      <c r="E149" s="416" t="s">
        <v>251</v>
      </c>
      <c r="F149" s="419">
        <v>3.7083333333333335</v>
      </c>
      <c r="G149" s="419" t="s">
        <v>244</v>
      </c>
      <c r="H149" s="371"/>
      <c r="J149" s="416" t="s">
        <v>504</v>
      </c>
    </row>
    <row r="150" spans="1:10" ht="9.75" customHeight="1">
      <c r="A150" s="416" t="str">
        <f>'12.lan'!D467</f>
        <v xml:space="preserve">MLT Malta </v>
      </c>
      <c r="B150" s="416" t="s">
        <v>505</v>
      </c>
      <c r="C150" s="419">
        <f>VLOOKUP(B150,'12.ppp data'!$C$3:$J$273,7,FALSE)</f>
        <v>0.71108892792764722</v>
      </c>
      <c r="D150" s="419" t="str">
        <f>IF(VLOOKUP(B150,'12.ppp data'!$C$3:$J$273,8,FALSE)="est","est","-")</f>
        <v>-</v>
      </c>
      <c r="E150" s="416" t="s">
        <v>254</v>
      </c>
      <c r="F150" s="419">
        <v>2</v>
      </c>
      <c r="G150" s="419" t="s">
        <v>244</v>
      </c>
      <c r="H150" s="371"/>
      <c r="J150" s="416" t="s">
        <v>506</v>
      </c>
    </row>
    <row r="151" spans="1:10" ht="9.75" customHeight="1">
      <c r="A151" s="416" t="str">
        <f>'12.lan'!D468</f>
        <v xml:space="preserve">MMR Myanmar </v>
      </c>
      <c r="B151" s="416" t="s">
        <v>507</v>
      </c>
      <c r="C151" s="419">
        <f>VLOOKUP(B151,'12.ppp data'!$C$3:$J$273,7,FALSE)</f>
        <v>5.315535822941885</v>
      </c>
      <c r="D151" s="419" t="str">
        <f>IF(VLOOKUP(B151,'12.ppp data'!$C$3:$J$273,8,FALSE)="est","est","-")</f>
        <v>-</v>
      </c>
      <c r="E151" s="416" t="s">
        <v>248</v>
      </c>
      <c r="F151" s="419">
        <v>4</v>
      </c>
      <c r="G151" s="419"/>
      <c r="H151" s="371"/>
      <c r="J151" s="416" t="s">
        <v>508</v>
      </c>
    </row>
    <row r="152" spans="1:10" ht="9.75" customHeight="1">
      <c r="A152" s="416" t="str">
        <f>'12.lan'!D469</f>
        <v xml:space="preserve">MNE Montenegro </v>
      </c>
      <c r="B152" s="416" t="s">
        <v>509</v>
      </c>
      <c r="C152" s="419">
        <f>VLOOKUP(B152,'12.ppp data'!$C$3:$J$273,7,FALSE)</f>
        <v>2.7571504779018072</v>
      </c>
      <c r="D152" s="419" t="str">
        <f>IF(VLOOKUP(B152,'12.ppp data'!$C$3:$J$273,8,FALSE)="est","est","-")</f>
        <v>-</v>
      </c>
      <c r="E152" s="416" t="s">
        <v>254</v>
      </c>
      <c r="F152" s="419">
        <v>2</v>
      </c>
      <c r="G152" s="419" t="s">
        <v>244</v>
      </c>
      <c r="H152" s="371"/>
      <c r="J152" s="416" t="s">
        <v>510</v>
      </c>
    </row>
    <row r="153" spans="1:10" ht="9.75" customHeight="1">
      <c r="A153" s="416" t="str">
        <f>'12.lan'!D470</f>
        <v xml:space="preserve">MNG Mongolia </v>
      </c>
      <c r="B153" s="416" t="s">
        <v>511</v>
      </c>
      <c r="C153" s="419">
        <f>VLOOKUP(B153,'12.ppp data'!$C$3:$J$273,7,FALSE)</f>
        <v>3.9168356476795716</v>
      </c>
      <c r="D153" s="419" t="str">
        <f>IF(VLOOKUP(B153,'12.ppp data'!$C$3:$J$273,8,FALSE)="est","est","-")</f>
        <v>-</v>
      </c>
      <c r="E153" s="416" t="s">
        <v>248</v>
      </c>
      <c r="F153" s="419">
        <v>4.1785714285714288</v>
      </c>
      <c r="G153" s="419" t="s">
        <v>244</v>
      </c>
      <c r="H153" s="371"/>
      <c r="J153" s="416" t="s">
        <v>512</v>
      </c>
    </row>
    <row r="154" spans="1:10" ht="9.75" customHeight="1">
      <c r="A154" s="416" t="str">
        <f>'12.lan'!D471</f>
        <v xml:space="preserve">MNP Northern Mariana Islands </v>
      </c>
      <c r="B154" s="416" t="s">
        <v>513</v>
      </c>
      <c r="C154" s="419">
        <f>VLOOKUP(B154,'12.ppp data'!$C$3:$J$273,7,FALSE)</f>
        <v>1.3563308370936336</v>
      </c>
      <c r="D154" s="419" t="str">
        <f>IF(VLOOKUP(B154,'12.ppp data'!$C$3:$J$273,8,FALSE)="est","est","-")</f>
        <v>est</v>
      </c>
      <c r="E154" s="416" t="s">
        <v>265</v>
      </c>
      <c r="F154" s="419">
        <v>3</v>
      </c>
      <c r="G154" s="419" t="s">
        <v>244</v>
      </c>
      <c r="H154" s="371"/>
      <c r="J154" s="416" t="s">
        <v>514</v>
      </c>
    </row>
    <row r="155" spans="1:10" ht="9.75" customHeight="1">
      <c r="A155" s="416" t="str">
        <f>'12.lan'!D472</f>
        <v xml:space="preserve">MOZ Mozambique </v>
      </c>
      <c r="B155" s="416" t="s">
        <v>515</v>
      </c>
      <c r="C155" s="419">
        <f>VLOOKUP(B155,'12.ppp data'!$C$3:$J$273,7,FALSE)</f>
        <v>3.4066898689195604</v>
      </c>
      <c r="D155" s="419" t="str">
        <f>IF(VLOOKUP(B155,'12.ppp data'!$C$3:$J$273,8,FALSE)="est","est","-")</f>
        <v>-</v>
      </c>
      <c r="E155" s="416" t="s">
        <v>251</v>
      </c>
      <c r="F155" s="419">
        <v>3</v>
      </c>
      <c r="G155" s="419"/>
      <c r="H155" s="371"/>
      <c r="J155" s="416" t="s">
        <v>516</v>
      </c>
    </row>
    <row r="156" spans="1:10" ht="9.75" customHeight="1">
      <c r="A156" s="416" t="str">
        <f>'12.lan'!D473</f>
        <v xml:space="preserve">MRT Mauritania </v>
      </c>
      <c r="B156" s="416" t="s">
        <v>517</v>
      </c>
      <c r="C156" s="419">
        <f>VLOOKUP(B156,'12.ppp data'!$C$3:$J$273,7,FALSE)</f>
        <v>3.8928547489684506</v>
      </c>
      <c r="D156" s="419" t="str">
        <f>IF(VLOOKUP(B156,'12.ppp data'!$C$3:$J$273,8,FALSE)="est","est","-")</f>
        <v>-</v>
      </c>
      <c r="E156" s="416" t="s">
        <v>251</v>
      </c>
      <c r="F156" s="419">
        <v>3.7083333333333335</v>
      </c>
      <c r="G156" s="419" t="s">
        <v>244</v>
      </c>
      <c r="H156" s="371"/>
      <c r="J156" s="416" t="s">
        <v>518</v>
      </c>
    </row>
    <row r="157" spans="1:10" ht="9.75" customHeight="1">
      <c r="A157" s="416" t="str">
        <f>'12.lan'!D474</f>
        <v xml:space="preserve">MUS Mauritius </v>
      </c>
      <c r="B157" s="416" t="s">
        <v>519</v>
      </c>
      <c r="C157" s="419">
        <f>VLOOKUP(B157,'12.ppp data'!$C$3:$J$273,7,FALSE)</f>
        <v>2.3010822696567823</v>
      </c>
      <c r="D157" s="419" t="str">
        <f>IF(VLOOKUP(B157,'12.ppp data'!$C$3:$J$273,8,FALSE)="est","est","-")</f>
        <v>-</v>
      </c>
      <c r="E157" s="416" t="s">
        <v>251</v>
      </c>
      <c r="F157" s="419">
        <v>3.7083333333333335</v>
      </c>
      <c r="G157" s="419" t="s">
        <v>244</v>
      </c>
      <c r="H157" s="371"/>
      <c r="J157" s="416" t="s">
        <v>520</v>
      </c>
    </row>
    <row r="158" spans="1:10" ht="9.75" customHeight="1">
      <c r="A158" s="416" t="str">
        <f>'12.lan'!D475</f>
        <v xml:space="preserve">MWI Malawi </v>
      </c>
      <c r="B158" s="416" t="s">
        <v>521</v>
      </c>
      <c r="C158" s="419">
        <f>VLOOKUP(B158,'12.ppp data'!$C$3:$J$273,7,FALSE)</f>
        <v>3.9493473635874552</v>
      </c>
      <c r="D158" s="419" t="str">
        <f>IF(VLOOKUP(B158,'12.ppp data'!$C$3:$J$273,8,FALSE)="est","est","-")</f>
        <v>-</v>
      </c>
      <c r="E158" s="416" t="s">
        <v>251</v>
      </c>
      <c r="F158" s="419">
        <v>3.7083333333333335</v>
      </c>
      <c r="G158" s="419" t="s">
        <v>244</v>
      </c>
      <c r="H158" s="371"/>
      <c r="J158" s="416" t="s">
        <v>522</v>
      </c>
    </row>
    <row r="159" spans="1:10" ht="9.75" customHeight="1">
      <c r="A159" s="416" t="str">
        <f>'12.lan'!D476</f>
        <v xml:space="preserve">MYS Malaysia </v>
      </c>
      <c r="B159" s="416" t="s">
        <v>523</v>
      </c>
      <c r="C159" s="419">
        <f>VLOOKUP(B159,'12.ppp data'!$C$3:$J$273,7,FALSE)</f>
        <v>3.3409539086930788</v>
      </c>
      <c r="D159" s="419" t="str">
        <f>IF(VLOOKUP(B159,'12.ppp data'!$C$3:$J$273,8,FALSE)="est","est","-")</f>
        <v>-</v>
      </c>
      <c r="E159" s="416" t="s">
        <v>248</v>
      </c>
      <c r="F159" s="419">
        <v>5</v>
      </c>
      <c r="G159" s="419"/>
      <c r="H159" s="371"/>
      <c r="J159" s="416" t="s">
        <v>524</v>
      </c>
    </row>
    <row r="160" spans="1:10" ht="9.75" customHeight="1">
      <c r="A160" s="416" t="str">
        <f>'12.lan'!D477</f>
        <v xml:space="preserve">NAM Namibia </v>
      </c>
      <c r="B160" s="416" t="s">
        <v>525</v>
      </c>
      <c r="C160" s="419">
        <f>VLOOKUP(B160,'12.ppp data'!$C$3:$J$273,7,FALSE)</f>
        <v>2.2612227250983215</v>
      </c>
      <c r="D160" s="419" t="str">
        <f>IF(VLOOKUP(B160,'12.ppp data'!$C$3:$J$273,8,FALSE)="est","est","-")</f>
        <v>-</v>
      </c>
      <c r="E160" s="416" t="s">
        <v>251</v>
      </c>
      <c r="F160" s="419">
        <v>3</v>
      </c>
      <c r="G160" s="419"/>
      <c r="H160" s="371"/>
      <c r="J160" s="416" t="s">
        <v>526</v>
      </c>
    </row>
    <row r="161" spans="1:10" ht="9.75" customHeight="1">
      <c r="A161" s="416" t="str">
        <f>'12.lan'!D478</f>
        <v xml:space="preserve">NCL New Caledonia </v>
      </c>
      <c r="B161" s="416" t="s">
        <v>527</v>
      </c>
      <c r="C161" s="419">
        <f>VLOOKUP(B161,'12.ppp data'!$C$3:$J$273,7,FALSE)</f>
        <v>1.3563308370936336</v>
      </c>
      <c r="D161" s="419" t="str">
        <f>IF(VLOOKUP(B161,'12.ppp data'!$C$3:$J$273,8,FALSE)="est","est","-")</f>
        <v>est</v>
      </c>
      <c r="E161" s="416" t="s">
        <v>265</v>
      </c>
      <c r="F161" s="419">
        <v>3</v>
      </c>
      <c r="G161" s="419" t="s">
        <v>244</v>
      </c>
      <c r="H161" s="371"/>
      <c r="J161" s="416" t="s">
        <v>528</v>
      </c>
    </row>
    <row r="162" spans="1:10" ht="9.75" customHeight="1">
      <c r="A162" s="416" t="str">
        <f>'12.lan'!D479</f>
        <v xml:space="preserve">NER Niger </v>
      </c>
      <c r="B162" s="416" t="s">
        <v>529</v>
      </c>
      <c r="C162" s="419">
        <f>VLOOKUP(B162,'12.ppp data'!$C$3:$J$273,7,FALSE)</f>
        <v>3.0345117582886689</v>
      </c>
      <c r="D162" s="419" t="str">
        <f>IF(VLOOKUP(B162,'12.ppp data'!$C$3:$J$273,8,FALSE)="est","est","-")</f>
        <v>-</v>
      </c>
      <c r="E162" s="416" t="s">
        <v>251</v>
      </c>
      <c r="F162" s="419">
        <v>3.7083333333333335</v>
      </c>
      <c r="G162" s="419" t="s">
        <v>244</v>
      </c>
      <c r="H162" s="371"/>
      <c r="J162" s="416" t="s">
        <v>530</v>
      </c>
    </row>
    <row r="163" spans="1:10" ht="9.75" customHeight="1">
      <c r="A163" s="416" t="str">
        <f>'12.lan'!D480</f>
        <v xml:space="preserve">NGA Nigeria </v>
      </c>
      <c r="B163" s="416" t="s">
        <v>531</v>
      </c>
      <c r="C163" s="419">
        <f>VLOOKUP(B163,'12.ppp data'!$C$3:$J$273,7,FALSE)</f>
        <v>3.6473316344115339</v>
      </c>
      <c r="D163" s="419" t="str">
        <f>IF(VLOOKUP(B163,'12.ppp data'!$C$3:$J$273,8,FALSE)="est","est","-")</f>
        <v>-</v>
      </c>
      <c r="E163" s="416" t="s">
        <v>251</v>
      </c>
      <c r="F163" s="419">
        <v>5</v>
      </c>
      <c r="G163" s="419"/>
      <c r="H163" s="371"/>
      <c r="J163" s="416" t="s">
        <v>532</v>
      </c>
    </row>
    <row r="164" spans="1:10" ht="9.75" customHeight="1">
      <c r="A164" s="416" t="str">
        <f>'12.lan'!D481</f>
        <v xml:space="preserve">NIC Nicaragua </v>
      </c>
      <c r="B164" s="416" t="s">
        <v>533</v>
      </c>
      <c r="C164" s="419">
        <f>VLOOKUP(B164,'12.ppp data'!$C$3:$J$273,7,FALSE)</f>
        <v>2.9237099041681942</v>
      </c>
      <c r="D164" s="419" t="str">
        <f>IF(VLOOKUP(B164,'12.ppp data'!$C$3:$J$273,8,FALSE)="est","est","-")</f>
        <v>-</v>
      </c>
      <c r="E164" s="416" t="s">
        <v>245</v>
      </c>
      <c r="F164" s="419">
        <v>3.4210526315789473</v>
      </c>
      <c r="G164" s="419" t="s">
        <v>244</v>
      </c>
      <c r="H164" s="371"/>
      <c r="J164" s="416" t="s">
        <v>534</v>
      </c>
    </row>
    <row r="165" spans="1:10" ht="9.75" customHeight="1">
      <c r="A165" s="416" t="str">
        <f>'12.lan'!D482</f>
        <v xml:space="preserve">NLD Netherlands </v>
      </c>
      <c r="B165" s="416" t="s">
        <v>535</v>
      </c>
      <c r="C165" s="419">
        <f>VLOOKUP(B165,'12.ppp data'!$C$3:$J$273,7,FALSE)</f>
        <v>1.2371414609403513</v>
      </c>
      <c r="D165" s="419" t="str">
        <f>IF(VLOOKUP(B165,'12.ppp data'!$C$3:$J$273,8,FALSE)="est","est","-")</f>
        <v>-</v>
      </c>
      <c r="E165" s="416" t="s">
        <v>254</v>
      </c>
      <c r="F165" s="419">
        <v>1</v>
      </c>
      <c r="G165" s="419"/>
      <c r="H165" s="371"/>
      <c r="J165" s="416" t="s">
        <v>536</v>
      </c>
    </row>
    <row r="166" spans="1:10" ht="9.75" customHeight="1">
      <c r="A166" s="416" t="str">
        <f>'12.lan'!D483</f>
        <v xml:space="preserve">NOR Norway </v>
      </c>
      <c r="B166" s="416" t="s">
        <v>537</v>
      </c>
      <c r="C166" s="419">
        <f>VLOOKUP(B166,'12.ppp data'!$C$3:$J$273,7,FALSE)</f>
        <v>0.91144613113908035</v>
      </c>
      <c r="D166" s="419" t="str">
        <f>IF(VLOOKUP(B166,'12.ppp data'!$C$3:$J$273,8,FALSE)="est","est","-")</f>
        <v>-</v>
      </c>
      <c r="E166" s="416" t="s">
        <v>254</v>
      </c>
      <c r="F166" s="419">
        <v>1</v>
      </c>
      <c r="G166" s="419"/>
      <c r="H166" s="371"/>
      <c r="J166" s="416" t="s">
        <v>538</v>
      </c>
    </row>
    <row r="167" spans="1:10" ht="9.75" customHeight="1">
      <c r="A167" s="416" t="str">
        <f>'12.lan'!D484</f>
        <v xml:space="preserve">NPL Nepal </v>
      </c>
      <c r="B167" s="416" t="s">
        <v>539</v>
      </c>
      <c r="C167" s="419">
        <f>VLOOKUP(B167,'12.ppp data'!$C$3:$J$273,7,FALSE)</f>
        <v>3.5079000577965997</v>
      </c>
      <c r="D167" s="419" t="str">
        <f>IF(VLOOKUP(B167,'12.ppp data'!$C$3:$J$273,8,FALSE)="est","est","-")</f>
        <v>-</v>
      </c>
      <c r="E167" s="416" t="s">
        <v>248</v>
      </c>
      <c r="F167" s="419">
        <v>4</v>
      </c>
      <c r="G167" s="419"/>
      <c r="H167" s="371"/>
      <c r="J167" s="416" t="s">
        <v>540</v>
      </c>
    </row>
    <row r="168" spans="1:10" ht="9.75" customHeight="1">
      <c r="A168" s="416" t="str">
        <f>'12.lan'!D485</f>
        <v xml:space="preserve">NRU Nauru </v>
      </c>
      <c r="B168" s="416" t="s">
        <v>541</v>
      </c>
      <c r="C168" s="419">
        <f>VLOOKUP(B168,'12.ppp data'!$C$3:$J$273,7,FALSE)</f>
        <v>1.8860988073359262</v>
      </c>
      <c r="D168" s="419" t="str">
        <f>IF(VLOOKUP(B168,'12.ppp data'!$C$3:$J$273,8,FALSE)="est","est","-")</f>
        <v>-</v>
      </c>
      <c r="E168" s="416" t="s">
        <v>265</v>
      </c>
      <c r="F168" s="419">
        <v>3</v>
      </c>
      <c r="G168" s="419" t="s">
        <v>244</v>
      </c>
      <c r="H168" s="371"/>
      <c r="J168" s="416" t="s">
        <v>542</v>
      </c>
    </row>
    <row r="169" spans="1:10" ht="9.75" customHeight="1">
      <c r="A169" s="416" t="str">
        <f>'12.lan'!D486</f>
        <v xml:space="preserve">NZL New Zealand </v>
      </c>
      <c r="B169" s="416" t="s">
        <v>543</v>
      </c>
      <c r="C169" s="419">
        <f>VLOOKUP(B169,'12.ppp data'!$C$3:$J$273,7,FALSE)</f>
        <v>1.0760787421251647</v>
      </c>
      <c r="D169" s="419" t="str">
        <f>IF(VLOOKUP(B169,'12.ppp data'!$C$3:$J$273,8,FALSE)="est","est","-")</f>
        <v>-</v>
      </c>
      <c r="E169" s="416" t="s">
        <v>265</v>
      </c>
      <c r="F169" s="419">
        <v>3</v>
      </c>
      <c r="G169" s="419" t="s">
        <v>244</v>
      </c>
      <c r="H169" s="371"/>
      <c r="J169" s="416" t="s">
        <v>544</v>
      </c>
    </row>
    <row r="170" spans="1:10" ht="9.75" customHeight="1">
      <c r="A170" s="416" t="str">
        <f>'12.lan'!D487</f>
        <v xml:space="preserve">OMN Oman </v>
      </c>
      <c r="B170" s="416" t="s">
        <v>545</v>
      </c>
      <c r="C170" s="419">
        <f>VLOOKUP(B170,'12.ppp data'!$C$3:$J$273,7,FALSE)</f>
        <v>2.9989492247716245</v>
      </c>
      <c r="D170" s="419" t="str">
        <f>IF(VLOOKUP(B170,'12.ppp data'!$C$3:$J$273,8,FALSE)="est","est","-")</f>
        <v>-</v>
      </c>
      <c r="E170" s="416" t="s">
        <v>248</v>
      </c>
      <c r="F170" s="419">
        <v>4</v>
      </c>
      <c r="G170" s="419"/>
      <c r="H170" s="371"/>
      <c r="J170" s="416" t="s">
        <v>546</v>
      </c>
    </row>
    <row r="171" spans="1:10" ht="9.75" customHeight="1">
      <c r="A171" s="416" t="str">
        <f>'12.lan'!D488</f>
        <v xml:space="preserve">PAK Pakistan </v>
      </c>
      <c r="B171" s="416" t="s">
        <v>547</v>
      </c>
      <c r="C171" s="419">
        <f>VLOOKUP(B171,'12.ppp data'!$C$3:$J$273,7,FALSE)</f>
        <v>4.0161818085959498</v>
      </c>
      <c r="D171" s="419" t="str">
        <f>IF(VLOOKUP(B171,'12.ppp data'!$C$3:$J$273,8,FALSE)="est","est","-")</f>
        <v>-</v>
      </c>
      <c r="E171" s="416" t="s">
        <v>248</v>
      </c>
      <c r="F171" s="419">
        <v>4</v>
      </c>
      <c r="G171" s="419"/>
      <c r="H171" s="371"/>
      <c r="J171" s="416" t="s">
        <v>548</v>
      </c>
    </row>
    <row r="172" spans="1:10" ht="9.75" customHeight="1">
      <c r="A172" s="416" t="str">
        <f>'12.lan'!D489</f>
        <v xml:space="preserve">PAN Panama </v>
      </c>
      <c r="B172" s="416" t="s">
        <v>549</v>
      </c>
      <c r="C172" s="419">
        <f>VLOOKUP(B172,'12.ppp data'!$C$3:$J$273,7,FALSE)</f>
        <v>1.8300677990616934</v>
      </c>
      <c r="D172" s="419" t="str">
        <f>IF(VLOOKUP(B172,'12.ppp data'!$C$3:$J$273,8,FALSE)="est","est","-")</f>
        <v>-</v>
      </c>
      <c r="E172" s="416" t="s">
        <v>245</v>
      </c>
      <c r="F172" s="419">
        <v>4</v>
      </c>
      <c r="G172" s="419"/>
      <c r="H172" s="371"/>
      <c r="J172" s="416" t="s">
        <v>550</v>
      </c>
    </row>
    <row r="173" spans="1:10" ht="9.75" customHeight="1">
      <c r="A173" s="416" t="str">
        <f>'12.lan'!D490</f>
        <v xml:space="preserve">PER Peru </v>
      </c>
      <c r="B173" s="416" t="s">
        <v>551</v>
      </c>
      <c r="C173" s="419">
        <f>VLOOKUP(B173,'12.ppp data'!$C$3:$J$273,7,FALSE)</f>
        <v>2.2821651537971333</v>
      </c>
      <c r="D173" s="419" t="str">
        <f>IF(VLOOKUP(B173,'12.ppp data'!$C$3:$J$273,8,FALSE)="est","est","-")</f>
        <v>-</v>
      </c>
      <c r="E173" s="416" t="s">
        <v>245</v>
      </c>
      <c r="F173" s="419">
        <v>4</v>
      </c>
      <c r="G173" s="419"/>
      <c r="H173" s="371"/>
      <c r="J173" s="416" t="s">
        <v>552</v>
      </c>
    </row>
    <row r="174" spans="1:10" ht="9.75" customHeight="1">
      <c r="A174" s="416" t="str">
        <f>'12.lan'!D491</f>
        <v xml:space="preserve">PHL Philippines </v>
      </c>
      <c r="B174" s="416" t="s">
        <v>553</v>
      </c>
      <c r="C174" s="419">
        <f>VLOOKUP(B174,'12.ppp data'!$C$3:$J$273,7,FALSE)</f>
        <v>3.1476986949883816</v>
      </c>
      <c r="D174" s="419" t="str">
        <f>IF(VLOOKUP(B174,'12.ppp data'!$C$3:$J$273,8,FALSE)="est","est","-")</f>
        <v>-</v>
      </c>
      <c r="E174" s="416" t="s">
        <v>248</v>
      </c>
      <c r="F174" s="419">
        <v>5</v>
      </c>
      <c r="G174" s="419"/>
      <c r="H174" s="371"/>
      <c r="J174" s="416" t="s">
        <v>554</v>
      </c>
    </row>
    <row r="175" spans="1:10" ht="9.75" customHeight="1">
      <c r="A175" s="416" t="str">
        <f>'12.lan'!D492</f>
        <v xml:space="preserve">PLW Palau </v>
      </c>
      <c r="B175" s="416" t="s">
        <v>555</v>
      </c>
      <c r="C175" s="419">
        <f>VLOOKUP(B175,'12.ppp data'!$C$3:$J$273,7,FALSE)</f>
        <v>1.2236683068944152</v>
      </c>
      <c r="D175" s="419" t="str">
        <f>IF(VLOOKUP(B175,'12.ppp data'!$C$3:$J$273,8,FALSE)="est","est","-")</f>
        <v>-</v>
      </c>
      <c r="E175" s="416" t="s">
        <v>265</v>
      </c>
      <c r="F175" s="419">
        <v>3</v>
      </c>
      <c r="G175" s="419" t="s">
        <v>244</v>
      </c>
      <c r="H175" s="371"/>
      <c r="J175" s="416" t="s">
        <v>556</v>
      </c>
    </row>
    <row r="176" spans="1:10" ht="9.75" customHeight="1">
      <c r="A176" s="416" t="str">
        <f>'12.lan'!D493</f>
        <v xml:space="preserve">PNG Papua New Guinea </v>
      </c>
      <c r="B176" s="416" t="s">
        <v>557</v>
      </c>
      <c r="C176" s="419">
        <f>VLOOKUP(B176,'12.ppp data'!$C$3:$J$273,7,FALSE)</f>
        <v>1.8178576569853162</v>
      </c>
      <c r="D176" s="419" t="str">
        <f>IF(VLOOKUP(B176,'12.ppp data'!$C$3:$J$273,8,FALSE)="est","est","-")</f>
        <v>-</v>
      </c>
      <c r="E176" s="416" t="s">
        <v>265</v>
      </c>
      <c r="F176" s="419">
        <v>3</v>
      </c>
      <c r="G176" s="419" t="s">
        <v>244</v>
      </c>
      <c r="H176" s="371"/>
      <c r="J176" s="416" t="s">
        <v>558</v>
      </c>
    </row>
    <row r="177" spans="1:10" ht="9.75" customHeight="1">
      <c r="A177" s="416" t="str">
        <f>'12.lan'!D494</f>
        <v xml:space="preserve">POL Poland </v>
      </c>
      <c r="B177" s="416" t="s">
        <v>559</v>
      </c>
      <c r="C177" s="419">
        <f>VLOOKUP(B177,'12.ppp data'!$C$3:$J$273,7,FALSE)</f>
        <v>2.3920792098053809</v>
      </c>
      <c r="D177" s="419" t="str">
        <f>IF(VLOOKUP(B177,'12.ppp data'!$C$3:$J$273,8,FALSE)="est","est","-")</f>
        <v>-</v>
      </c>
      <c r="E177" s="416" t="s">
        <v>254</v>
      </c>
      <c r="F177" s="419">
        <v>3</v>
      </c>
      <c r="G177" s="419"/>
      <c r="H177" s="371"/>
      <c r="J177" s="416" t="s">
        <v>560</v>
      </c>
    </row>
    <row r="178" spans="1:10" ht="9.75" customHeight="1">
      <c r="A178" s="416" t="str">
        <f>'12.lan'!D495</f>
        <v xml:space="preserve">PRI Puerto Rico </v>
      </c>
      <c r="B178" s="416" t="s">
        <v>561</v>
      </c>
      <c r="C178" s="419">
        <f>VLOOKUP(B178,'12.ppp data'!$C$3:$J$273,7,FALSE)</f>
        <v>1.9628994497935313</v>
      </c>
      <c r="D178" s="419" t="str">
        <f>IF(VLOOKUP(B178,'12.ppp data'!$C$3:$J$273,8,FALSE)="est","est","-")</f>
        <v>est</v>
      </c>
      <c r="E178" s="416" t="s">
        <v>245</v>
      </c>
      <c r="F178" s="419">
        <v>3.4210526315789473</v>
      </c>
      <c r="G178" s="419" t="s">
        <v>244</v>
      </c>
      <c r="H178" s="371"/>
      <c r="J178" s="416" t="s">
        <v>562</v>
      </c>
    </row>
    <row r="179" spans="1:10" ht="9.75" customHeight="1">
      <c r="A179" s="416" t="str">
        <f>'12.lan'!D496</f>
        <v xml:space="preserve">PRK Korea, Democratic People's Republic of </v>
      </c>
      <c r="B179" s="416" t="s">
        <v>563</v>
      </c>
      <c r="C179" s="419">
        <f>VLOOKUP(B179,'12.ppp data'!$C$3:$J$273,7,FALSE)</f>
        <v>3.0027294367224551</v>
      </c>
      <c r="D179" s="419" t="str">
        <f>IF(VLOOKUP(B179,'12.ppp data'!$C$3:$J$273,8,FALSE)="est","est","-")</f>
        <v>est</v>
      </c>
      <c r="E179" s="416" t="s">
        <v>248</v>
      </c>
      <c r="F179" s="419">
        <v>4.1785714285714288</v>
      </c>
      <c r="G179" s="419" t="s">
        <v>244</v>
      </c>
      <c r="H179" s="371"/>
      <c r="J179" s="416" t="s">
        <v>564</v>
      </c>
    </row>
    <row r="180" spans="1:10" ht="9.75" customHeight="1">
      <c r="A180" s="416" t="str">
        <f>'12.lan'!D497</f>
        <v xml:space="preserve">PRT Portugal </v>
      </c>
      <c r="B180" s="416" t="s">
        <v>565</v>
      </c>
      <c r="C180" s="419">
        <f>VLOOKUP(B180,'12.ppp data'!$C$3:$J$273,7,FALSE)</f>
        <v>1.7166939907126855</v>
      </c>
      <c r="D180" s="419" t="str">
        <f>IF(VLOOKUP(B180,'12.ppp data'!$C$3:$J$273,8,FALSE)="est","est","-")</f>
        <v>-</v>
      </c>
      <c r="E180" s="416" t="s">
        <v>254</v>
      </c>
      <c r="F180" s="419">
        <v>3</v>
      </c>
      <c r="G180" s="419"/>
      <c r="H180" s="371"/>
      <c r="J180" s="416" t="s">
        <v>566</v>
      </c>
    </row>
    <row r="181" spans="1:10" ht="9.75" customHeight="1">
      <c r="A181" s="416" t="str">
        <f>'12.lan'!D498</f>
        <v xml:space="preserve">PRY Paraguay </v>
      </c>
      <c r="B181" s="416" t="s">
        <v>567</v>
      </c>
      <c r="C181" s="419">
        <f>VLOOKUP(B181,'12.ppp data'!$C$3:$J$273,7,FALSE)</f>
        <v>2.485477668859331</v>
      </c>
      <c r="D181" s="419" t="str">
        <f>IF(VLOOKUP(B181,'12.ppp data'!$C$3:$J$273,8,FALSE)="est","est","-")</f>
        <v>-</v>
      </c>
      <c r="E181" s="416" t="s">
        <v>245</v>
      </c>
      <c r="F181" s="419">
        <v>3</v>
      </c>
      <c r="G181" s="419"/>
      <c r="H181" s="371"/>
      <c r="J181" s="416" t="s">
        <v>568</v>
      </c>
    </row>
    <row r="182" spans="1:10" ht="9.75" customHeight="1">
      <c r="A182" s="416" t="str">
        <f>'12.lan'!D499</f>
        <v xml:space="preserve">PSE Palestinian Territory, Occupied </v>
      </c>
      <c r="B182" s="416" t="s">
        <v>569</v>
      </c>
      <c r="C182" s="419">
        <f>VLOOKUP(B182,'12.ppp data'!$C$3:$J$273,7,FALSE)</f>
        <v>3.0027294367224551</v>
      </c>
      <c r="D182" s="419" t="str">
        <f>IF(VLOOKUP(B182,'12.ppp data'!$C$3:$J$273,8,FALSE)="est","est","-")</f>
        <v>est</v>
      </c>
      <c r="E182" s="416" t="s">
        <v>248</v>
      </c>
      <c r="F182" s="419">
        <v>4.1785714285714288</v>
      </c>
      <c r="G182" s="419" t="s">
        <v>244</v>
      </c>
      <c r="H182" s="371"/>
      <c r="J182" s="416" t="s">
        <v>570</v>
      </c>
    </row>
    <row r="183" spans="1:10" ht="9.75" customHeight="1">
      <c r="A183" s="416" t="str">
        <f>'12.lan'!D500</f>
        <v xml:space="preserve">PYF French Polynesia </v>
      </c>
      <c r="B183" s="416" t="s">
        <v>571</v>
      </c>
      <c r="C183" s="419">
        <f>VLOOKUP(B183,'12.ppp data'!$C$3:$J$273,7,FALSE)</f>
        <v>1.3563308370936336</v>
      </c>
      <c r="D183" s="419" t="str">
        <f>IF(VLOOKUP(B183,'12.ppp data'!$C$3:$J$273,8,FALSE)="est","est","-")</f>
        <v>est</v>
      </c>
      <c r="E183" s="416" t="s">
        <v>265</v>
      </c>
      <c r="F183" s="419">
        <v>3</v>
      </c>
      <c r="G183" s="419" t="s">
        <v>244</v>
      </c>
      <c r="H183" s="371"/>
      <c r="I183" s="418"/>
      <c r="J183" s="416" t="s">
        <v>572</v>
      </c>
    </row>
    <row r="184" spans="1:10" ht="9.75" customHeight="1">
      <c r="A184" s="416" t="str">
        <f>'12.lan'!D501</f>
        <v xml:space="preserve">QAT Qatar </v>
      </c>
      <c r="B184" s="416" t="s">
        <v>573</v>
      </c>
      <c r="C184" s="419">
        <f>VLOOKUP(B184,'12.ppp data'!$C$3:$J$273,7,FALSE)</f>
        <v>2.2754401989982163</v>
      </c>
      <c r="D184" s="419" t="str">
        <f>IF(VLOOKUP(B184,'12.ppp data'!$C$3:$J$273,8,FALSE)="est","est","-")</f>
        <v>-</v>
      </c>
      <c r="E184" s="416" t="s">
        <v>248</v>
      </c>
      <c r="F184" s="419">
        <v>5</v>
      </c>
      <c r="G184" s="419"/>
      <c r="H184" s="371"/>
      <c r="J184" s="416" t="s">
        <v>574</v>
      </c>
    </row>
    <row r="185" spans="1:10" ht="9.75" customHeight="1">
      <c r="A185" s="416" t="str">
        <f>'12.lan'!D502</f>
        <v xml:space="preserve">ROU Romania </v>
      </c>
      <c r="B185" s="416" t="s">
        <v>575</v>
      </c>
      <c r="C185" s="419">
        <f>VLOOKUP(B185,'12.ppp data'!$C$3:$J$273,7,FALSE)</f>
        <v>2.6955722747597277</v>
      </c>
      <c r="D185" s="419" t="str">
        <f>IF(VLOOKUP(B185,'12.ppp data'!$C$3:$J$273,8,FALSE)="est","est","-")</f>
        <v>-</v>
      </c>
      <c r="E185" s="416" t="s">
        <v>254</v>
      </c>
      <c r="F185" s="419">
        <v>3</v>
      </c>
      <c r="G185" s="419"/>
      <c r="H185" s="371"/>
      <c r="J185" s="416" t="s">
        <v>576</v>
      </c>
    </row>
    <row r="186" spans="1:10" ht="9.75" customHeight="1">
      <c r="A186" s="416" t="str">
        <f>'12.lan'!D503</f>
        <v xml:space="preserve">RUS Russian Federation </v>
      </c>
      <c r="B186" s="416" t="s">
        <v>577</v>
      </c>
      <c r="C186" s="419">
        <f>VLOOKUP(B186,'12.ppp data'!$C$3:$J$273,7,FALSE)</f>
        <v>2.6821265780186163</v>
      </c>
      <c r="D186" s="419" t="str">
        <f>IF(VLOOKUP(B186,'12.ppp data'!$C$3:$J$273,8,FALSE)="est","est","-")</f>
        <v>-</v>
      </c>
      <c r="E186" s="416" t="s">
        <v>254</v>
      </c>
      <c r="F186" s="419">
        <v>2</v>
      </c>
      <c r="G186" s="419"/>
      <c r="H186" s="371"/>
      <c r="J186" s="416" t="s">
        <v>578</v>
      </c>
    </row>
    <row r="187" spans="1:10" ht="9.75" customHeight="1">
      <c r="A187" s="416" t="str">
        <f>'12.lan'!D504</f>
        <v xml:space="preserve">RWA Rwanda </v>
      </c>
      <c r="B187" s="416" t="s">
        <v>579</v>
      </c>
      <c r="C187" s="419">
        <f>VLOOKUP(B187,'12.ppp data'!$C$3:$J$273,7,FALSE)</f>
        <v>3.0422872212098131</v>
      </c>
      <c r="D187" s="419" t="str">
        <f>IF(VLOOKUP(B187,'12.ppp data'!$C$3:$J$273,8,FALSE)="est","est","-")</f>
        <v>-</v>
      </c>
      <c r="E187" s="416" t="s">
        <v>251</v>
      </c>
      <c r="F187" s="419">
        <v>3.7083333333333335</v>
      </c>
      <c r="G187" s="419" t="s">
        <v>244</v>
      </c>
      <c r="H187" s="371"/>
      <c r="J187" s="416" t="s">
        <v>580</v>
      </c>
    </row>
    <row r="188" spans="1:10" ht="9.75" customHeight="1">
      <c r="A188" s="416" t="str">
        <f>'12.lan'!D505</f>
        <v xml:space="preserve">SAU Saudi Arabia </v>
      </c>
      <c r="B188" s="416" t="s">
        <v>581</v>
      </c>
      <c r="C188" s="419">
        <f>VLOOKUP(B188,'12.ppp data'!$C$3:$J$273,7,FALSE)</f>
        <v>2.9277327693485242</v>
      </c>
      <c r="D188" s="419" t="str">
        <f>IF(VLOOKUP(B188,'12.ppp data'!$C$3:$J$273,8,FALSE)="est","est","-")</f>
        <v>-</v>
      </c>
      <c r="E188" s="416" t="s">
        <v>248</v>
      </c>
      <c r="F188" s="419">
        <v>5</v>
      </c>
      <c r="G188" s="419"/>
      <c r="H188" s="371"/>
      <c r="J188" s="416" t="s">
        <v>582</v>
      </c>
    </row>
    <row r="189" spans="1:10" ht="9.75" customHeight="1">
      <c r="A189" s="416" t="str">
        <f>'12.lan'!D506</f>
        <v xml:space="preserve">SDN Sudan </v>
      </c>
      <c r="B189" s="416" t="s">
        <v>583</v>
      </c>
      <c r="C189" s="419">
        <f>VLOOKUP(B189,'12.ppp data'!$C$3:$J$273,7,FALSE)</f>
        <v>1.8034320862418214</v>
      </c>
      <c r="D189" s="419" t="str">
        <f>IF(VLOOKUP(B189,'12.ppp data'!$C$3:$J$273,8,FALSE)="est","est","-")</f>
        <v>-</v>
      </c>
      <c r="E189" s="416" t="s">
        <v>251</v>
      </c>
      <c r="F189" s="419">
        <v>6</v>
      </c>
      <c r="G189" s="419"/>
      <c r="H189" s="371"/>
      <c r="J189" s="416" t="s">
        <v>584</v>
      </c>
    </row>
    <row r="190" spans="1:10" ht="9.75" customHeight="1">
      <c r="A190" s="416" t="str">
        <f>'12.lan'!D507</f>
        <v xml:space="preserve">SEN Senegal </v>
      </c>
      <c r="B190" s="416" t="s">
        <v>585</v>
      </c>
      <c r="C190" s="419">
        <f>VLOOKUP(B190,'12.ppp data'!$C$3:$J$273,7,FALSE)</f>
        <v>2.9628383355975485</v>
      </c>
      <c r="D190" s="419" t="str">
        <f>IF(VLOOKUP(B190,'12.ppp data'!$C$3:$J$273,8,FALSE)="est","est","-")</f>
        <v>-</v>
      </c>
      <c r="E190" s="416" t="s">
        <v>251</v>
      </c>
      <c r="F190" s="419">
        <v>2</v>
      </c>
      <c r="G190" s="419"/>
      <c r="H190" s="371"/>
      <c r="J190" s="416" t="s">
        <v>586</v>
      </c>
    </row>
    <row r="191" spans="1:10" ht="9.75" customHeight="1">
      <c r="A191" s="416" t="str">
        <f>'12.lan'!D508</f>
        <v xml:space="preserve">SGP Singapore </v>
      </c>
      <c r="B191" s="416" t="s">
        <v>587</v>
      </c>
      <c r="C191" s="419">
        <f>VLOOKUP(B191,'12.ppp data'!$C$3:$J$273,7,FALSE)</f>
        <v>1.8374841917124456</v>
      </c>
      <c r="D191" s="419" t="str">
        <f>IF(VLOOKUP(B191,'12.ppp data'!$C$3:$J$273,8,FALSE)="est","est","-")</f>
        <v>-</v>
      </c>
      <c r="E191" s="416" t="s">
        <v>248</v>
      </c>
      <c r="F191" s="419">
        <v>3</v>
      </c>
      <c r="G191" s="419"/>
      <c r="H191" s="371"/>
      <c r="J191" s="416" t="s">
        <v>588</v>
      </c>
    </row>
    <row r="192" spans="1:10" ht="9.75" customHeight="1">
      <c r="A192" s="416" t="str">
        <f>'12.lan'!D509</f>
        <v xml:space="preserve">SLB Solomon Islands </v>
      </c>
      <c r="B192" s="416" t="s">
        <v>589</v>
      </c>
      <c r="C192" s="419">
        <f>VLOOKUP(B192,'12.ppp data'!$C$3:$J$273,7,FALSE)</f>
        <v>1.2437936553501536</v>
      </c>
      <c r="D192" s="419" t="str">
        <f>IF(VLOOKUP(B192,'12.ppp data'!$C$3:$J$273,8,FALSE)="est","est","-")</f>
        <v>-</v>
      </c>
      <c r="E192" s="416" t="s">
        <v>265</v>
      </c>
      <c r="F192" s="419">
        <v>3</v>
      </c>
      <c r="G192" s="419" t="s">
        <v>244</v>
      </c>
      <c r="H192" s="371"/>
      <c r="J192" s="416" t="s">
        <v>590</v>
      </c>
    </row>
    <row r="193" spans="1:10" ht="9.75" customHeight="1">
      <c r="A193" s="416" t="str">
        <f>'12.lan'!D510</f>
        <v xml:space="preserve">SLE Sierra Leone </v>
      </c>
      <c r="B193" s="416" t="s">
        <v>591</v>
      </c>
      <c r="C193" s="419">
        <f>VLOOKUP(B193,'12.ppp data'!$C$3:$J$273,7,FALSE)</f>
        <v>3.5180741592103839</v>
      </c>
      <c r="D193" s="419" t="str">
        <f>IF(VLOOKUP(B193,'12.ppp data'!$C$3:$J$273,8,FALSE)="est","est","-")</f>
        <v>-</v>
      </c>
      <c r="E193" s="416" t="s">
        <v>251</v>
      </c>
      <c r="F193" s="419">
        <v>3.7083333333333335</v>
      </c>
      <c r="G193" s="419" t="s">
        <v>244</v>
      </c>
      <c r="H193" s="371"/>
      <c r="J193" s="416" t="s">
        <v>592</v>
      </c>
    </row>
    <row r="194" spans="1:10" ht="9.75" customHeight="1">
      <c r="A194" s="416" t="str">
        <f>'12.lan'!D511</f>
        <v xml:space="preserve">SLV El Salvador </v>
      </c>
      <c r="B194" s="416" t="s">
        <v>593</v>
      </c>
      <c r="C194" s="419">
        <f>VLOOKUP(B194,'12.ppp data'!$C$3:$J$273,7,FALSE)</f>
        <v>2.3250310954896238</v>
      </c>
      <c r="D194" s="419" t="str">
        <f>IF(VLOOKUP(B194,'12.ppp data'!$C$3:$J$273,8,FALSE)="est","est","-")</f>
        <v>-</v>
      </c>
      <c r="E194" s="416" t="s">
        <v>245</v>
      </c>
      <c r="F194" s="419">
        <v>4</v>
      </c>
      <c r="G194" s="419"/>
      <c r="H194" s="371"/>
      <c r="J194" s="416" t="s">
        <v>594</v>
      </c>
    </row>
    <row r="195" spans="1:10" ht="9.75" customHeight="1">
      <c r="A195" s="416" t="str">
        <f>'12.lan'!D512</f>
        <v xml:space="preserve">SMR San Marino </v>
      </c>
      <c r="B195" s="416" t="s">
        <v>595</v>
      </c>
      <c r="C195" s="419">
        <f>VLOOKUP(B195,'12.ppp data'!$C$3:$J$273,7,FALSE)</f>
        <v>1.4164511818660801</v>
      </c>
      <c r="D195" s="419" t="str">
        <f>IF(VLOOKUP(B195,'12.ppp data'!$C$3:$J$273,8,FALSE)="est","est","-")</f>
        <v>-</v>
      </c>
      <c r="E195" s="416" t="s">
        <v>254</v>
      </c>
      <c r="F195" s="419">
        <v>2</v>
      </c>
      <c r="G195" s="419" t="s">
        <v>244</v>
      </c>
      <c r="H195" s="371"/>
      <c r="J195" s="416" t="s">
        <v>596</v>
      </c>
    </row>
    <row r="196" spans="1:10" ht="9.75" customHeight="1">
      <c r="A196" s="416" t="str">
        <f>'12.lan'!D513</f>
        <v xml:space="preserve">SOM Somalia </v>
      </c>
      <c r="B196" s="416" t="s">
        <v>597</v>
      </c>
      <c r="C196" s="419">
        <f>VLOOKUP(B196,'12.ppp data'!$C$3:$J$273,7,FALSE)</f>
        <v>3.0325616327831186</v>
      </c>
      <c r="D196" s="419" t="str">
        <f>IF(VLOOKUP(B196,'12.ppp data'!$C$3:$J$273,8,FALSE)="est","est","-")</f>
        <v>est</v>
      </c>
      <c r="E196" s="416" t="s">
        <v>251</v>
      </c>
      <c r="F196" s="419">
        <v>3.7083333333333335</v>
      </c>
      <c r="G196" s="419" t="s">
        <v>244</v>
      </c>
      <c r="H196" s="371"/>
      <c r="J196" s="416" t="s">
        <v>598</v>
      </c>
    </row>
    <row r="197" spans="1:10" ht="9.75" customHeight="1">
      <c r="A197" s="416" t="str">
        <f>'12.lan'!D514</f>
        <v xml:space="preserve">SRB Serbia </v>
      </c>
      <c r="B197" s="416" t="s">
        <v>599</v>
      </c>
      <c r="C197" s="419">
        <f>VLOOKUP(B197,'12.ppp data'!$C$3:$J$273,7,FALSE)</f>
        <v>2.879187934678324</v>
      </c>
      <c r="D197" s="419" t="str">
        <f>IF(VLOOKUP(B197,'12.ppp data'!$C$3:$J$273,8,FALSE)="est","est","-")</f>
        <v>-</v>
      </c>
      <c r="E197" s="416" t="s">
        <v>254</v>
      </c>
      <c r="F197" s="419">
        <v>2</v>
      </c>
      <c r="G197" s="419"/>
      <c r="H197" s="371"/>
      <c r="J197" s="416" t="s">
        <v>600</v>
      </c>
    </row>
    <row r="198" spans="1:10" ht="9.75" customHeight="1">
      <c r="A198" s="416" t="str">
        <f>'12.lan'!D515</f>
        <v xml:space="preserve">SSD South Sudan </v>
      </c>
      <c r="B198" s="416" t="s">
        <v>601</v>
      </c>
      <c r="C198" s="419">
        <f>VLOOKUP(B198,'12.ppp data'!$C$3:$J$273,7,FALSE)</f>
        <v>3.0325616327831186</v>
      </c>
      <c r="D198" s="419" t="str">
        <f>IF(VLOOKUP(B198,'12.ppp data'!$C$3:$J$273,8,FALSE)="est","est","-")</f>
        <v>est</v>
      </c>
      <c r="E198" s="416" t="s">
        <v>251</v>
      </c>
      <c r="F198" s="419">
        <v>3.7083333333333335</v>
      </c>
      <c r="G198" s="419" t="s">
        <v>244</v>
      </c>
      <c r="H198" s="371"/>
      <c r="J198" s="416" t="s">
        <v>602</v>
      </c>
    </row>
    <row r="199" spans="1:10" ht="9.75" customHeight="1">
      <c r="A199" s="416" t="str">
        <f>'12.lan'!D516</f>
        <v xml:space="preserve">STP Sao Tome and Principe </v>
      </c>
      <c r="B199" s="416" t="s">
        <v>603</v>
      </c>
      <c r="C199" s="419">
        <f>VLOOKUP(B199,'12.ppp data'!$C$3:$J$273,7,FALSE)</f>
        <v>3.0325616327831186</v>
      </c>
      <c r="D199" s="419" t="str">
        <f>IF(VLOOKUP(B199,'12.ppp data'!$C$3:$J$273,8,FALSE)="est","est","-")</f>
        <v>est</v>
      </c>
      <c r="E199" s="416" t="s">
        <v>251</v>
      </c>
      <c r="F199" s="419">
        <v>3.7083333333333335</v>
      </c>
      <c r="G199" s="419" t="s">
        <v>244</v>
      </c>
      <c r="H199" s="371"/>
      <c r="J199" s="416" t="s">
        <v>604</v>
      </c>
    </row>
    <row r="200" spans="1:10" ht="9.75" customHeight="1">
      <c r="A200" s="416" t="str">
        <f>'12.lan'!D517</f>
        <v xml:space="preserve">SUR Suriname </v>
      </c>
      <c r="B200" s="416" t="s">
        <v>605</v>
      </c>
      <c r="C200" s="419">
        <f>VLOOKUP(B200,'12.ppp data'!$C$3:$J$273,7,FALSE)</f>
        <v>2.8687339203446278</v>
      </c>
      <c r="D200" s="419" t="str">
        <f>IF(VLOOKUP(B200,'12.ppp data'!$C$3:$J$273,8,FALSE)="est","est","-")</f>
        <v>-</v>
      </c>
      <c r="E200" s="416" t="s">
        <v>245</v>
      </c>
      <c r="F200" s="419">
        <v>3.4210526315789473</v>
      </c>
      <c r="G200" s="419" t="s">
        <v>244</v>
      </c>
      <c r="H200" s="371"/>
      <c r="J200" s="416" t="s">
        <v>606</v>
      </c>
    </row>
    <row r="201" spans="1:10" ht="9.75" customHeight="1">
      <c r="A201" s="416" t="str">
        <f>'12.lan'!D518</f>
        <v xml:space="preserve">SVK Slovakia </v>
      </c>
      <c r="B201" s="416" t="s">
        <v>607</v>
      </c>
      <c r="C201" s="419">
        <f>VLOOKUP(B201,'12.ppp data'!$C$3:$J$273,7,FALSE)</f>
        <v>2.0553886123249323</v>
      </c>
      <c r="D201" s="419" t="str">
        <f>IF(VLOOKUP(B201,'12.ppp data'!$C$3:$J$273,8,FALSE)="est","est","-")</f>
        <v>-</v>
      </c>
      <c r="E201" s="416" t="s">
        <v>254</v>
      </c>
      <c r="F201" s="419">
        <v>1</v>
      </c>
      <c r="G201" s="419"/>
      <c r="H201" s="371"/>
      <c r="J201" s="416" t="s">
        <v>608</v>
      </c>
    </row>
    <row r="202" spans="1:10" ht="9.75" customHeight="1">
      <c r="A202" s="416" t="str">
        <f>'12.lan'!D519</f>
        <v xml:space="preserve">SVN Slovenia </v>
      </c>
      <c r="B202" s="416" t="s">
        <v>609</v>
      </c>
      <c r="C202" s="419">
        <f>VLOOKUP(B202,'12.ppp data'!$C$3:$J$273,7,FALSE)</f>
        <v>1.6619550241731358</v>
      </c>
      <c r="D202" s="419" t="str">
        <f>IF(VLOOKUP(B202,'12.ppp data'!$C$3:$J$273,8,FALSE)="est","est","-")</f>
        <v>-</v>
      </c>
      <c r="E202" s="416" t="s">
        <v>254</v>
      </c>
      <c r="F202" s="419">
        <v>1</v>
      </c>
      <c r="G202" s="419"/>
      <c r="H202" s="371"/>
      <c r="J202" s="416" t="s">
        <v>610</v>
      </c>
    </row>
    <row r="203" spans="1:10" ht="9.75" customHeight="1">
      <c r="A203" s="416" t="str">
        <f>'12.lan'!D520</f>
        <v xml:space="preserve">SWE Sweden </v>
      </c>
      <c r="B203" s="416" t="s">
        <v>611</v>
      </c>
      <c r="C203" s="419">
        <f>VLOOKUP(B203,'12.ppp data'!$C$3:$J$273,7,FALSE)</f>
        <v>1.0572364232401117</v>
      </c>
      <c r="D203" s="419" t="str">
        <f>IF(VLOOKUP(B203,'12.ppp data'!$C$3:$J$273,8,FALSE)="est","est","-")</f>
        <v>-</v>
      </c>
      <c r="E203" s="416" t="s">
        <v>254</v>
      </c>
      <c r="F203" s="419">
        <v>1</v>
      </c>
      <c r="G203" s="419"/>
      <c r="H203" s="371"/>
      <c r="J203" s="416" t="s">
        <v>612</v>
      </c>
    </row>
    <row r="204" spans="1:10" ht="9.75" customHeight="1">
      <c r="A204" s="416" t="str">
        <f>'12.lan'!D521</f>
        <v xml:space="preserve">SWZ Swaziland </v>
      </c>
      <c r="B204" s="416" t="s">
        <v>613</v>
      </c>
      <c r="C204" s="419">
        <f>VLOOKUP(B204,'12.ppp data'!$C$3:$J$273,7,FALSE)</f>
        <v>2.9684852436677032</v>
      </c>
      <c r="D204" s="419" t="str">
        <f>IF(VLOOKUP(B204,'12.ppp data'!$C$3:$J$273,8,FALSE)="est","est","-")</f>
        <v>-</v>
      </c>
      <c r="E204" s="416" t="s">
        <v>251</v>
      </c>
      <c r="F204" s="419">
        <v>3.7083333333333335</v>
      </c>
      <c r="G204" s="419" t="s">
        <v>244</v>
      </c>
      <c r="H204" s="371"/>
      <c r="J204" s="416" t="s">
        <v>614</v>
      </c>
    </row>
    <row r="205" spans="1:10" ht="9.75" customHeight="1">
      <c r="A205" s="416" t="str">
        <f>'12.lan'!D522</f>
        <v xml:space="preserve">SXM Sint Maarten (Dutch part) </v>
      </c>
      <c r="B205" s="416" t="s">
        <v>615</v>
      </c>
      <c r="C205" s="419">
        <f>VLOOKUP(B205,'12.ppp data'!$C$3:$J$273,7,FALSE)</f>
        <v>1.9628994497935313</v>
      </c>
      <c r="D205" s="419" t="str">
        <f>IF(VLOOKUP(B205,'12.ppp data'!$C$3:$J$273,8,FALSE)="est","est","-")</f>
        <v>est</v>
      </c>
      <c r="E205" s="416" t="s">
        <v>245</v>
      </c>
      <c r="F205" s="419">
        <v>3.4210526315789473</v>
      </c>
      <c r="G205" s="419" t="s">
        <v>244</v>
      </c>
      <c r="H205" s="371"/>
      <c r="I205" s="418"/>
      <c r="J205" s="416" t="s">
        <v>616</v>
      </c>
    </row>
    <row r="206" spans="1:10" ht="9.75" customHeight="1">
      <c r="A206" s="416" t="str">
        <f>'12.lan'!D523</f>
        <v xml:space="preserve">SYC Seychelles </v>
      </c>
      <c r="B206" s="416" t="s">
        <v>617</v>
      </c>
      <c r="C206" s="419">
        <f>VLOOKUP(B206,'12.ppp data'!$C$3:$J$273,7,FALSE)</f>
        <v>1.9670340451638095</v>
      </c>
      <c r="D206" s="419" t="str">
        <f>IF(VLOOKUP(B206,'12.ppp data'!$C$3:$J$273,8,FALSE)="est","est","-")</f>
        <v>-</v>
      </c>
      <c r="E206" s="416" t="s">
        <v>251</v>
      </c>
      <c r="F206" s="419">
        <v>3.7083333333333335</v>
      </c>
      <c r="G206" s="419" t="s">
        <v>244</v>
      </c>
      <c r="H206" s="371"/>
      <c r="J206" s="416" t="s">
        <v>618</v>
      </c>
    </row>
    <row r="207" spans="1:10" ht="9.75" customHeight="1">
      <c r="A207" s="416" t="str">
        <f>'12.lan'!D524</f>
        <v xml:space="preserve">SYR Syrian Arab Republic </v>
      </c>
      <c r="B207" s="416" t="s">
        <v>619</v>
      </c>
      <c r="C207" s="419">
        <f>VLOOKUP(B207,'12.ppp data'!$C$3:$J$273,7,FALSE)</f>
        <v>3.0027294367224551</v>
      </c>
      <c r="D207" s="419" t="str">
        <f>IF(VLOOKUP(B207,'12.ppp data'!$C$3:$J$273,8,FALSE)="est","est","-")</f>
        <v>est</v>
      </c>
      <c r="E207" s="416" t="s">
        <v>248</v>
      </c>
      <c r="F207" s="419">
        <v>4.1785714285714288</v>
      </c>
      <c r="G207" s="419" t="s">
        <v>244</v>
      </c>
      <c r="H207" s="371"/>
      <c r="J207" s="416" t="s">
        <v>620</v>
      </c>
    </row>
    <row r="208" spans="1:10" ht="9.75" customHeight="1">
      <c r="A208" s="416" t="str">
        <f>'12.lan'!D525</f>
        <v xml:space="preserve">TCA Turks and Caicos Islands </v>
      </c>
      <c r="B208" s="416" t="s">
        <v>621</v>
      </c>
      <c r="C208" s="419">
        <f>VLOOKUP(B208,'12.ppp data'!$C$3:$J$273,7,FALSE)</f>
        <v>1.9628994497935313</v>
      </c>
      <c r="D208" s="419" t="str">
        <f>IF(VLOOKUP(B208,'12.ppp data'!$C$3:$J$273,8,FALSE)="est","est","-")</f>
        <v>est</v>
      </c>
      <c r="E208" s="416" t="s">
        <v>245</v>
      </c>
      <c r="F208" s="419">
        <v>3.4210526315789473</v>
      </c>
      <c r="G208" s="419" t="s">
        <v>244</v>
      </c>
      <c r="H208" s="371"/>
      <c r="J208" s="416" t="s">
        <v>622</v>
      </c>
    </row>
    <row r="209" spans="1:10" ht="9.75" customHeight="1">
      <c r="A209" s="416" t="str">
        <f>'12.lan'!D526</f>
        <v xml:space="preserve">TCD Chad </v>
      </c>
      <c r="B209" s="416" t="s">
        <v>623</v>
      </c>
      <c r="C209" s="419">
        <f>VLOOKUP(B209,'12.ppp data'!$C$3:$J$273,7,FALSE)</f>
        <v>3.2719238069892578</v>
      </c>
      <c r="D209" s="419" t="str">
        <f>IF(VLOOKUP(B209,'12.ppp data'!$C$3:$J$273,8,FALSE)="est","est","-")</f>
        <v>-</v>
      </c>
      <c r="E209" s="416" t="s">
        <v>251</v>
      </c>
      <c r="F209" s="419">
        <v>3</v>
      </c>
      <c r="G209" s="419"/>
      <c r="H209" s="371"/>
      <c r="J209" s="416" t="s">
        <v>624</v>
      </c>
    </row>
    <row r="210" spans="1:10" ht="9.75" customHeight="1">
      <c r="A210" s="416" t="str">
        <f>'12.lan'!D527</f>
        <v xml:space="preserve">TGO Togo </v>
      </c>
      <c r="B210" s="416" t="s">
        <v>625</v>
      </c>
      <c r="C210" s="419">
        <f>VLOOKUP(B210,'12.ppp data'!$C$3:$J$273,7,FALSE)</f>
        <v>2.8701773324680016</v>
      </c>
      <c r="D210" s="419" t="str">
        <f>IF(VLOOKUP(B210,'12.ppp data'!$C$3:$J$273,8,FALSE)="est","est","-")</f>
        <v>-</v>
      </c>
      <c r="E210" s="416" t="s">
        <v>251</v>
      </c>
      <c r="F210" s="419">
        <v>3.7083333333333335</v>
      </c>
      <c r="G210" s="419" t="s">
        <v>244</v>
      </c>
      <c r="H210" s="371"/>
      <c r="J210" s="416" t="s">
        <v>626</v>
      </c>
    </row>
    <row r="211" spans="1:10" ht="9.75" customHeight="1">
      <c r="A211" s="416" t="str">
        <f>'12.lan'!D528</f>
        <v xml:space="preserve">THA Thailand </v>
      </c>
      <c r="B211" s="416" t="s">
        <v>627</v>
      </c>
      <c r="C211" s="419">
        <f>VLOOKUP(B211,'12.ppp data'!$C$3:$J$273,7,FALSE)</f>
        <v>3.0545723851265998</v>
      </c>
      <c r="D211" s="419" t="str">
        <f>IF(VLOOKUP(B211,'12.ppp data'!$C$3:$J$273,8,FALSE)="est","est","-")</f>
        <v>-</v>
      </c>
      <c r="E211" s="416" t="s">
        <v>248</v>
      </c>
      <c r="F211" s="419">
        <v>4</v>
      </c>
      <c r="G211" s="419"/>
      <c r="H211" s="371"/>
      <c r="J211" s="416" t="s">
        <v>628</v>
      </c>
    </row>
    <row r="212" spans="1:10" ht="9.75" customHeight="1">
      <c r="A212" s="416" t="str">
        <f>'12.lan'!D529</f>
        <v xml:space="preserve">TJK Tajikistan </v>
      </c>
      <c r="B212" s="416" t="s">
        <v>629</v>
      </c>
      <c r="C212" s="419">
        <f>VLOOKUP(B212,'12.ppp data'!$C$3:$J$273,7,FALSE)</f>
        <v>4.4544480905092065</v>
      </c>
      <c r="D212" s="419" t="str">
        <f>IF(VLOOKUP(B212,'12.ppp data'!$C$3:$J$273,8,FALSE)="est","est","-")</f>
        <v>-</v>
      </c>
      <c r="E212" s="416" t="s">
        <v>248</v>
      </c>
      <c r="F212" s="419">
        <v>4.1785714285714288</v>
      </c>
      <c r="G212" s="419" t="s">
        <v>244</v>
      </c>
      <c r="H212" s="371"/>
      <c r="J212" s="416" t="s">
        <v>630</v>
      </c>
    </row>
    <row r="213" spans="1:10" ht="9.75" customHeight="1">
      <c r="A213" s="416" t="str">
        <f>'12.lan'!D530</f>
        <v xml:space="preserve">TKM Turkmenistan </v>
      </c>
      <c r="B213" s="416" t="s">
        <v>631</v>
      </c>
      <c r="C213" s="419">
        <f>VLOOKUP(B213,'12.ppp data'!$C$3:$J$273,7,FALSE)</f>
        <v>2.6928641663820763</v>
      </c>
      <c r="D213" s="419" t="str">
        <f>IF(VLOOKUP(B213,'12.ppp data'!$C$3:$J$273,8,FALSE)="est","est","-")</f>
        <v>-</v>
      </c>
      <c r="E213" s="416" t="s">
        <v>248</v>
      </c>
      <c r="F213" s="419">
        <v>4.1785714285714288</v>
      </c>
      <c r="G213" s="419" t="s">
        <v>244</v>
      </c>
      <c r="H213" s="371"/>
      <c r="J213" s="416" t="s">
        <v>632</v>
      </c>
    </row>
    <row r="214" spans="1:10" ht="9.75" customHeight="1">
      <c r="A214" s="416" t="str">
        <f>'12.lan'!D531</f>
        <v xml:space="preserve">TLS Timor-Leste </v>
      </c>
      <c r="B214" s="416" t="s">
        <v>633</v>
      </c>
      <c r="C214" s="419">
        <f>VLOOKUP(B214,'12.ppp data'!$C$3:$J$273,7,FALSE)</f>
        <v>3.5744298356102879</v>
      </c>
      <c r="D214" s="419" t="str">
        <f>IF(VLOOKUP(B214,'12.ppp data'!$C$3:$J$273,8,FALSE)="est","est","-")</f>
        <v>-</v>
      </c>
      <c r="E214" s="416" t="s">
        <v>248</v>
      </c>
      <c r="F214" s="419">
        <v>4.1785714285714288</v>
      </c>
      <c r="G214" s="419" t="s">
        <v>244</v>
      </c>
      <c r="H214" s="371"/>
      <c r="J214" s="416" t="s">
        <v>634</v>
      </c>
    </row>
    <row r="215" spans="1:10" ht="9.75" customHeight="1">
      <c r="A215" s="416" t="str">
        <f>'12.lan'!D532</f>
        <v xml:space="preserve">TON Tonga </v>
      </c>
      <c r="B215" s="416" t="s">
        <v>635</v>
      </c>
      <c r="C215" s="419">
        <f>VLOOKUP(B215,'12.ppp data'!$C$3:$J$273,7,FALSE)</f>
        <v>1.7488285625957432</v>
      </c>
      <c r="D215" s="419" t="str">
        <f>IF(VLOOKUP(B215,'12.ppp data'!$C$3:$J$273,8,FALSE)="est","est","-")</f>
        <v>-</v>
      </c>
      <c r="E215" s="416" t="s">
        <v>265</v>
      </c>
      <c r="F215" s="419">
        <v>3</v>
      </c>
      <c r="G215" s="419" t="s">
        <v>244</v>
      </c>
      <c r="H215" s="371"/>
      <c r="J215" s="416" t="s">
        <v>636</v>
      </c>
    </row>
    <row r="216" spans="1:10" ht="9.75" customHeight="1">
      <c r="A216" s="416" t="str">
        <f>'12.lan'!D533</f>
        <v xml:space="preserve">TTO Trinidad and Tobago </v>
      </c>
      <c r="B216" s="416" t="s">
        <v>637</v>
      </c>
      <c r="C216" s="419">
        <f>VLOOKUP(B216,'12.ppp data'!$C$3:$J$273,7,FALSE)</f>
        <v>2.1624826708370994</v>
      </c>
      <c r="D216" s="419" t="str">
        <f>IF(VLOOKUP(B216,'12.ppp data'!$C$3:$J$273,8,FALSE)="est","est","-")</f>
        <v>-</v>
      </c>
      <c r="E216" s="416" t="s">
        <v>245</v>
      </c>
      <c r="F216" s="419">
        <v>3.4210526315789473</v>
      </c>
      <c r="G216" s="419" t="s">
        <v>244</v>
      </c>
      <c r="H216" s="371"/>
      <c r="J216" s="416" t="s">
        <v>638</v>
      </c>
    </row>
    <row r="217" spans="1:10" ht="9.75" customHeight="1">
      <c r="A217" s="416" t="str">
        <f>'12.lan'!D534</f>
        <v xml:space="preserve">TUN Tunisia </v>
      </c>
      <c r="B217" s="416" t="s">
        <v>639</v>
      </c>
      <c r="C217" s="419">
        <f>VLOOKUP(B217,'12.ppp data'!$C$3:$J$273,7,FALSE)</f>
        <v>3.8129934750178731</v>
      </c>
      <c r="D217" s="419" t="str">
        <f>IF(VLOOKUP(B217,'12.ppp data'!$C$3:$J$273,8,FALSE)="est","est","-")</f>
        <v>-</v>
      </c>
      <c r="E217" s="416" t="s">
        <v>251</v>
      </c>
      <c r="F217" s="419">
        <v>3.7083333333333335</v>
      </c>
      <c r="G217" s="419" t="s">
        <v>244</v>
      </c>
      <c r="H217" s="371"/>
      <c r="J217" s="416" t="s">
        <v>640</v>
      </c>
    </row>
    <row r="218" spans="1:10" ht="9.75" customHeight="1">
      <c r="A218" s="416" t="str">
        <f>'12.lan'!D535</f>
        <v xml:space="preserve">TUR Turkey </v>
      </c>
      <c r="B218" s="416" t="s">
        <v>641</v>
      </c>
      <c r="C218" s="419">
        <f>VLOOKUP(B218,'12.ppp data'!$C$3:$J$273,7,FALSE)</f>
        <v>2.9874610343826231</v>
      </c>
      <c r="D218" s="419" t="str">
        <f>IF(VLOOKUP(B218,'12.ppp data'!$C$3:$J$273,8,FALSE)="est","est","-")</f>
        <v>-</v>
      </c>
      <c r="E218" s="416" t="s">
        <v>248</v>
      </c>
      <c r="F218" s="419">
        <v>5</v>
      </c>
      <c r="G218" s="419"/>
      <c r="H218" s="371"/>
      <c r="J218" s="416" t="s">
        <v>642</v>
      </c>
    </row>
    <row r="219" spans="1:10" ht="9.75" customHeight="1">
      <c r="A219" s="416" t="str">
        <f>'12.lan'!D536</f>
        <v xml:space="preserve">TUV Tuvalu </v>
      </c>
      <c r="B219" s="416" t="s">
        <v>643</v>
      </c>
      <c r="C219" s="419">
        <f>VLOOKUP(B219,'12.ppp data'!$C$3:$J$273,7,FALSE)</f>
        <v>1.2579217777236158</v>
      </c>
      <c r="D219" s="419" t="str">
        <f>IF(VLOOKUP(B219,'12.ppp data'!$C$3:$J$273,8,FALSE)="est","est","-")</f>
        <v>-</v>
      </c>
      <c r="E219" s="416" t="s">
        <v>265</v>
      </c>
      <c r="F219" s="419">
        <v>3</v>
      </c>
      <c r="G219" s="419" t="s">
        <v>244</v>
      </c>
      <c r="H219" s="371"/>
      <c r="J219" s="416" t="s">
        <v>644</v>
      </c>
    </row>
    <row r="220" spans="1:10" ht="9.75" customHeight="1">
      <c r="A220" s="416" t="str">
        <f>'12.lan'!D537</f>
        <v xml:space="preserve">TZA Tanzania, United Republic of </v>
      </c>
      <c r="B220" s="416" t="s">
        <v>645</v>
      </c>
      <c r="C220" s="419">
        <f>VLOOKUP(B220,'12.ppp data'!$C$3:$J$273,7,FALSE)</f>
        <v>3.5139329251773668</v>
      </c>
      <c r="D220" s="419" t="str">
        <f>IF(VLOOKUP(B220,'12.ppp data'!$C$3:$J$273,8,FALSE)="est","est","-")</f>
        <v>-</v>
      </c>
      <c r="E220" s="416" t="s">
        <v>251</v>
      </c>
      <c r="F220" s="419">
        <v>3</v>
      </c>
      <c r="G220" s="419"/>
      <c r="H220" s="371"/>
      <c r="J220" s="416" t="s">
        <v>646</v>
      </c>
    </row>
    <row r="221" spans="1:10" ht="9.75" customHeight="1">
      <c r="A221" s="416" t="str">
        <f>'12.lan'!D538</f>
        <v xml:space="preserve">UGA Uganda </v>
      </c>
      <c r="B221" s="416" t="s">
        <v>647</v>
      </c>
      <c r="C221" s="419">
        <f>VLOOKUP(B221,'12.ppp data'!$C$3:$J$273,7,FALSE)</f>
        <v>3.5283370555202107</v>
      </c>
      <c r="D221" s="419" t="str">
        <f>IF(VLOOKUP(B221,'12.ppp data'!$C$3:$J$273,8,FALSE)="est","est","-")</f>
        <v>-</v>
      </c>
      <c r="E221" s="416" t="s">
        <v>251</v>
      </c>
      <c r="F221" s="419">
        <v>3</v>
      </c>
      <c r="G221" s="419"/>
      <c r="H221" s="371"/>
      <c r="J221" s="416" t="s">
        <v>648</v>
      </c>
    </row>
    <row r="222" spans="1:10" ht="9.75" customHeight="1">
      <c r="A222" s="416" t="str">
        <f>'12.lan'!D539</f>
        <v xml:space="preserve">UKR Ukraine </v>
      </c>
      <c r="B222" s="416" t="s">
        <v>649</v>
      </c>
      <c r="C222" s="419">
        <f>VLOOKUP(B222,'12.ppp data'!$C$3:$J$273,7,FALSE)</f>
        <v>3.6818887522135197</v>
      </c>
      <c r="D222" s="419" t="str">
        <f>IF(VLOOKUP(B222,'12.ppp data'!$C$3:$J$273,8,FALSE)="est","est","-")</f>
        <v>-</v>
      </c>
      <c r="E222" s="416" t="s">
        <v>254</v>
      </c>
      <c r="F222" s="419">
        <v>6</v>
      </c>
      <c r="G222" s="419"/>
      <c r="H222" s="371"/>
      <c r="J222" s="416" t="s">
        <v>650</v>
      </c>
    </row>
    <row r="223" spans="1:10" ht="9.75" customHeight="1">
      <c r="A223" s="416" t="str">
        <f>'12.lan'!D540</f>
        <v xml:space="preserve">URY Uruguay </v>
      </c>
      <c r="B223" s="416" t="s">
        <v>651</v>
      </c>
      <c r="C223" s="419">
        <f>VLOOKUP(B223,'12.ppp data'!$C$3:$J$273,7,FALSE)</f>
        <v>1.4657002230566731</v>
      </c>
      <c r="D223" s="419" t="str">
        <f>IF(VLOOKUP(B223,'12.ppp data'!$C$3:$J$273,8,FALSE)="est","est","-")</f>
        <v>-</v>
      </c>
      <c r="E223" s="416" t="s">
        <v>245</v>
      </c>
      <c r="F223" s="419">
        <v>1</v>
      </c>
      <c r="G223" s="419"/>
      <c r="H223" s="371"/>
      <c r="J223" s="416" t="s">
        <v>652</v>
      </c>
    </row>
    <row r="224" spans="1:10" ht="9.75" customHeight="1">
      <c r="A224" s="416" t="str">
        <f>'12.lan'!D541</f>
        <v xml:space="preserve">USA United States </v>
      </c>
      <c r="B224" s="416" t="s">
        <v>653</v>
      </c>
      <c r="C224" s="419">
        <f>VLOOKUP(B224,'12.ppp data'!$C$3:$J$273,7,FALSE)</f>
        <v>1.1294900000000001</v>
      </c>
      <c r="D224" s="419" t="str">
        <f>IF(VLOOKUP(B224,'12.ppp data'!$C$3:$J$273,8,FALSE)="est","est","-")</f>
        <v>-</v>
      </c>
      <c r="E224" s="416" t="s">
        <v>245</v>
      </c>
      <c r="F224" s="419">
        <v>4</v>
      </c>
      <c r="G224" s="419"/>
      <c r="H224" s="371"/>
      <c r="J224" s="416" t="s">
        <v>654</v>
      </c>
    </row>
    <row r="225" spans="1:10" ht="9.75" customHeight="1">
      <c r="A225" s="416" t="str">
        <f>'12.lan'!D542</f>
        <v xml:space="preserve">UZB Uzbekistan </v>
      </c>
      <c r="B225" s="416" t="s">
        <v>655</v>
      </c>
      <c r="C225" s="419">
        <f>VLOOKUP(B225,'12.ppp data'!$C$3:$J$273,7,FALSE)</f>
        <v>5.110891272086727</v>
      </c>
      <c r="D225" s="419" t="str">
        <f>IF(VLOOKUP(B225,'12.ppp data'!$C$3:$J$273,8,FALSE)="est","est","-")</f>
        <v>-</v>
      </c>
      <c r="E225" s="416" t="s">
        <v>248</v>
      </c>
      <c r="F225" s="419">
        <v>4.1785714285714288</v>
      </c>
      <c r="G225" s="419" t="s">
        <v>244</v>
      </c>
      <c r="H225" s="371"/>
      <c r="J225" s="416" t="s">
        <v>656</v>
      </c>
    </row>
    <row r="226" spans="1:10" ht="9.75" customHeight="1">
      <c r="A226" s="416" t="str">
        <f>'12.lan'!D543</f>
        <v xml:space="preserve">VCT Saint Vincent and the Grenadines </v>
      </c>
      <c r="B226" s="416" t="s">
        <v>657</v>
      </c>
      <c r="C226" s="419">
        <f>VLOOKUP(B226,'12.ppp data'!$C$3:$J$273,7,FALSE)</f>
        <v>1.8512874582147087</v>
      </c>
      <c r="D226" s="419" t="str">
        <f>IF(VLOOKUP(B226,'12.ppp data'!$C$3:$J$273,8,FALSE)="est","est","-")</f>
        <v>-</v>
      </c>
      <c r="E226" s="416" t="s">
        <v>245</v>
      </c>
      <c r="F226" s="419">
        <v>3.4210526315789473</v>
      </c>
      <c r="G226" s="419" t="s">
        <v>244</v>
      </c>
      <c r="H226" s="371"/>
      <c r="J226" s="416" t="s">
        <v>658</v>
      </c>
    </row>
    <row r="227" spans="1:10" ht="9.75" customHeight="1">
      <c r="A227" s="416" t="str">
        <f>'12.lan'!D544</f>
        <v xml:space="preserve">VEN Venezuela, Bolivarian Republic of </v>
      </c>
      <c r="B227" s="416" t="s">
        <v>659</v>
      </c>
      <c r="C227" s="419">
        <f>VLOOKUP(B227,'12.ppp data'!$C$3:$J$273,7,FALSE)</f>
        <v>1.9628994497935313</v>
      </c>
      <c r="D227" s="419" t="str">
        <f>IF(VLOOKUP(B227,'12.ppp data'!$C$3:$J$273,8,FALSE)="est","est","-")</f>
        <v>est</v>
      </c>
      <c r="E227" s="416" t="s">
        <v>245</v>
      </c>
      <c r="F227" s="419">
        <v>3</v>
      </c>
      <c r="G227" s="419"/>
      <c r="H227" s="371"/>
      <c r="J227" s="416" t="s">
        <v>660</v>
      </c>
    </row>
    <row r="228" spans="1:10" ht="9.75" customHeight="1">
      <c r="A228" s="416" t="str">
        <f>'12.lan'!D545</f>
        <v xml:space="preserve">VGB Virgin Islands, British </v>
      </c>
      <c r="B228" s="416" t="s">
        <v>661</v>
      </c>
      <c r="C228" s="419">
        <f>VLOOKUP(B228,'12.ppp data'!$C$3:$J$273,7,FALSE)</f>
        <v>1.9628994497935313</v>
      </c>
      <c r="D228" s="419" t="str">
        <f>IF(VLOOKUP(B228,'12.ppp data'!$C$3:$J$273,8,FALSE)="est","est","-")</f>
        <v>est</v>
      </c>
      <c r="E228" s="416" t="s">
        <v>245</v>
      </c>
      <c r="F228" s="419">
        <v>3.4210526315789473</v>
      </c>
      <c r="G228" s="419" t="s">
        <v>244</v>
      </c>
      <c r="H228" s="371"/>
      <c r="J228" s="416" t="s">
        <v>662</v>
      </c>
    </row>
    <row r="229" spans="1:10" ht="9.75" customHeight="1">
      <c r="A229" s="416" t="str">
        <f>'12.lan'!D546</f>
        <v xml:space="preserve">VIR Virgin Islands, U.S. </v>
      </c>
      <c r="B229" s="416" t="s">
        <v>663</v>
      </c>
      <c r="C229" s="419">
        <f>VLOOKUP(B229,'12.ppp data'!$C$3:$J$273,7,FALSE)</f>
        <v>1.9628994497935313</v>
      </c>
      <c r="D229" s="419" t="str">
        <f>IF(VLOOKUP(B229,'12.ppp data'!$C$3:$J$273,8,FALSE)="est","est","-")</f>
        <v>est</v>
      </c>
      <c r="E229" s="416" t="s">
        <v>245</v>
      </c>
      <c r="F229" s="419">
        <v>3.4210526315789473</v>
      </c>
      <c r="G229" s="419" t="s">
        <v>244</v>
      </c>
      <c r="H229" s="371"/>
      <c r="J229" s="416" t="s">
        <v>664</v>
      </c>
    </row>
    <row r="230" spans="1:10" ht="9.75" customHeight="1">
      <c r="A230" s="416" t="str">
        <f>'12.lan'!D547</f>
        <v xml:space="preserve">VNM Viet Nam </v>
      </c>
      <c r="B230" s="416" t="s">
        <v>665</v>
      </c>
      <c r="C230" s="419">
        <f>VLOOKUP(B230,'12.ppp data'!$C$3:$J$273,7,FALSE)</f>
        <v>3.2788396696440074</v>
      </c>
      <c r="D230" s="419" t="str">
        <f>IF(VLOOKUP(B230,'12.ppp data'!$C$3:$J$273,8,FALSE)="est","est","-")</f>
        <v>-</v>
      </c>
      <c r="E230" s="416" t="s">
        <v>248</v>
      </c>
      <c r="F230" s="419">
        <v>4.1785714285714288</v>
      </c>
      <c r="G230" s="419" t="s">
        <v>244</v>
      </c>
      <c r="H230" s="371"/>
      <c r="J230" s="416" t="s">
        <v>666</v>
      </c>
    </row>
    <row r="231" spans="1:10" ht="9.75" customHeight="1">
      <c r="A231" s="416" t="str">
        <f>'12.lan'!D548</f>
        <v xml:space="preserve">VUT Vanuatu </v>
      </c>
      <c r="B231" s="416" t="s">
        <v>667</v>
      </c>
      <c r="C231" s="419">
        <f>VLOOKUP(B231,'12.ppp data'!$C$3:$J$273,7,FALSE)</f>
        <v>1.1594436656360083</v>
      </c>
      <c r="D231" s="419" t="str">
        <f>IF(VLOOKUP(B231,'12.ppp data'!$C$3:$J$273,8,FALSE)="est","est","-")</f>
        <v>-</v>
      </c>
      <c r="E231" s="416" t="s">
        <v>265</v>
      </c>
      <c r="F231" s="419">
        <v>3</v>
      </c>
      <c r="G231" s="419" t="s">
        <v>244</v>
      </c>
      <c r="H231" s="371"/>
      <c r="J231" s="416" t="s">
        <v>668</v>
      </c>
    </row>
    <row r="232" spans="1:10" ht="9.75" customHeight="1">
      <c r="A232" s="416" t="str">
        <f>'12.lan'!D549</f>
        <v xml:space="preserve">WSM Samoa </v>
      </c>
      <c r="B232" s="416" t="s">
        <v>669</v>
      </c>
      <c r="C232" s="419">
        <f>VLOOKUP(B232,'12.ppp data'!$C$3:$J$273,7,FALSE)</f>
        <v>0.68766222141936417</v>
      </c>
      <c r="D232" s="419" t="str">
        <f>IF(VLOOKUP(B232,'12.ppp data'!$C$3:$J$273,8,FALSE)="est","est","-")</f>
        <v>-</v>
      </c>
      <c r="E232" s="416" t="s">
        <v>265</v>
      </c>
      <c r="F232" s="419">
        <v>3</v>
      </c>
      <c r="G232" s="419" t="s">
        <v>244</v>
      </c>
      <c r="H232" s="371"/>
      <c r="J232" s="416" t="s">
        <v>670</v>
      </c>
    </row>
    <row r="233" spans="1:10" ht="9.75" customHeight="1">
      <c r="A233" s="416" t="str">
        <f>'12.lan'!D550</f>
        <v>XKX Kosovo</v>
      </c>
      <c r="B233" s="416" t="s">
        <v>671</v>
      </c>
      <c r="C233" s="419">
        <f>VLOOKUP(B233,'12.ppp data'!$C$3:$J$273,7,FALSE)</f>
        <v>3.5152535645644845</v>
      </c>
      <c r="D233" s="419" t="str">
        <f>IF(VLOOKUP(B233,'12.ppp data'!$C$3:$J$273,8,FALSE)="est","est","-")</f>
        <v>-</v>
      </c>
      <c r="E233" s="416" t="s">
        <v>254</v>
      </c>
      <c r="F233" s="419">
        <v>2</v>
      </c>
      <c r="G233" s="419" t="s">
        <v>244</v>
      </c>
      <c r="H233" s="371"/>
      <c r="J233" s="416" t="s">
        <v>672</v>
      </c>
    </row>
    <row r="234" spans="1:10" ht="9.75" customHeight="1">
      <c r="A234" s="416" t="str">
        <f>'12.lan'!D551</f>
        <v xml:space="preserve">YEM Yemen </v>
      </c>
      <c r="B234" s="416" t="s">
        <v>673</v>
      </c>
      <c r="C234" s="419">
        <f>VLOOKUP(B234,'12.ppp data'!$C$3:$J$273,7,FALSE)</f>
        <v>3.0027294367224551</v>
      </c>
      <c r="D234" s="419" t="str">
        <f>IF(VLOOKUP(B234,'12.ppp data'!$C$3:$J$273,8,FALSE)="est","est","-")</f>
        <v>est</v>
      </c>
      <c r="E234" s="416" t="s">
        <v>248</v>
      </c>
      <c r="F234" s="419">
        <v>4.1785714285714288</v>
      </c>
      <c r="G234" s="419" t="s">
        <v>244</v>
      </c>
      <c r="H234" s="371"/>
      <c r="J234" s="416" t="s">
        <v>674</v>
      </c>
    </row>
    <row r="235" spans="1:10" ht="9.75" customHeight="1">
      <c r="A235" s="416" t="str">
        <f>'12.lan'!D552</f>
        <v xml:space="preserve">ZAF South Africa </v>
      </c>
      <c r="B235" s="416" t="s">
        <v>675</v>
      </c>
      <c r="C235" s="419">
        <f>VLOOKUP(B235,'12.ppp data'!$C$3:$J$273,7,FALSE)</f>
        <v>2.4721326531285115</v>
      </c>
      <c r="D235" s="419" t="str">
        <f>IF(VLOOKUP(B235,'12.ppp data'!$C$3:$J$273,8,FALSE)="est","est","-")</f>
        <v>-</v>
      </c>
      <c r="E235" s="416" t="s">
        <v>251</v>
      </c>
      <c r="F235" s="419">
        <v>1</v>
      </c>
      <c r="G235" s="419"/>
      <c r="H235" s="371"/>
      <c r="I235" s="418"/>
      <c r="J235" s="416" t="s">
        <v>676</v>
      </c>
    </row>
    <row r="236" spans="1:10" ht="9.75" customHeight="1">
      <c r="A236" s="416" t="str">
        <f>'12.lan'!D553</f>
        <v xml:space="preserve">ZMB Zambia </v>
      </c>
      <c r="B236" s="416" t="s">
        <v>677</v>
      </c>
      <c r="C236" s="419">
        <f>VLOOKUP(B236,'12.ppp data'!$C$3:$J$273,7,FALSE)</f>
        <v>3.0217667017585748</v>
      </c>
      <c r="D236" s="419" t="str">
        <f>IF(VLOOKUP(B236,'12.ppp data'!$C$3:$J$273,8,FALSE)="est","est","-")</f>
        <v>-</v>
      </c>
      <c r="E236" s="416" t="s">
        <v>251</v>
      </c>
      <c r="F236" s="419">
        <v>5</v>
      </c>
      <c r="G236" s="419"/>
      <c r="H236" s="371"/>
      <c r="J236" s="416" t="s">
        <v>678</v>
      </c>
    </row>
    <row r="237" spans="1:10" ht="9.75" customHeight="1">
      <c r="A237" s="416" t="str">
        <f>'12.lan'!D554</f>
        <v xml:space="preserve">ZWE Zimbabwe </v>
      </c>
      <c r="B237" s="416" t="s">
        <v>679</v>
      </c>
      <c r="C237" s="419">
        <f>VLOOKUP(B237,'12.ppp data'!$C$3:$J$273,7,FALSE)</f>
        <v>3.0325616327831186</v>
      </c>
      <c r="D237" s="419" t="str">
        <f>IF(VLOOKUP(B237,'12.ppp data'!$C$3:$J$273,8,FALSE)="est","est","-")</f>
        <v>est</v>
      </c>
      <c r="E237" s="416" t="s">
        <v>251</v>
      </c>
      <c r="F237" s="419">
        <v>5</v>
      </c>
      <c r="G237" s="419"/>
      <c r="H237" s="371"/>
      <c r="J237" s="416" t="s">
        <v>680</v>
      </c>
    </row>
    <row r="238" spans="1:10" ht="9.75" customHeight="1">
      <c r="A238" s="416" t="str">
        <f>'12.lan'!D555</f>
        <v>Average Africa</v>
      </c>
      <c r="B238" s="416" t="s">
        <v>251</v>
      </c>
      <c r="C238" s="424">
        <f>'12.ppp data'!K3</f>
        <v>3.0325616327831186</v>
      </c>
      <c r="D238" s="424"/>
      <c r="E238" s="416"/>
      <c r="F238" s="424">
        <v>3.7083333333333335</v>
      </c>
      <c r="G238" s="416"/>
      <c r="H238" s="371"/>
      <c r="J238" s="416" t="s">
        <v>681</v>
      </c>
    </row>
    <row r="239" spans="1:10" ht="9.75" customHeight="1">
      <c r="A239" s="416" t="str">
        <f>'12.lan'!D556</f>
        <v>Average Americas</v>
      </c>
      <c r="B239" s="416" t="s">
        <v>245</v>
      </c>
      <c r="C239" s="424">
        <f>'12.ppp data'!K57</f>
        <v>1.9628994497935313</v>
      </c>
      <c r="D239" s="424"/>
      <c r="E239" s="416"/>
      <c r="F239" s="419">
        <v>3.4210526315789473</v>
      </c>
      <c r="G239" s="416"/>
      <c r="H239" s="371"/>
      <c r="J239" s="416" t="s">
        <v>682</v>
      </c>
    </row>
    <row r="240" spans="1:10" ht="9.75" customHeight="1">
      <c r="A240" s="416" t="str">
        <f>'12.lan'!D557</f>
        <v>Average Asia</v>
      </c>
      <c r="B240" s="425" t="s">
        <v>248</v>
      </c>
      <c r="C240" s="424">
        <f>'12.ppp data'!K103</f>
        <v>3.0027294367224551</v>
      </c>
      <c r="D240" s="425"/>
      <c r="E240" s="416"/>
      <c r="F240" s="424">
        <v>4.1785714285714288</v>
      </c>
      <c r="G240" s="416"/>
      <c r="H240" s="371"/>
      <c r="J240" s="416" t="s">
        <v>683</v>
      </c>
    </row>
    <row r="241" spans="1:10" ht="9.75" customHeight="1">
      <c r="A241" s="416" t="str">
        <f>'12.lan'!D558</f>
        <v>Average Europe</v>
      </c>
      <c r="B241" s="416" t="s">
        <v>254</v>
      </c>
      <c r="C241" s="424">
        <f>'12.ppp data'!K153</f>
        <v>1.9328616451977572</v>
      </c>
      <c r="D241" s="424"/>
      <c r="E241" s="416"/>
      <c r="F241" s="424">
        <v>2</v>
      </c>
      <c r="G241" s="416"/>
      <c r="H241" s="371"/>
      <c r="J241" s="416" t="s">
        <v>684</v>
      </c>
    </row>
    <row r="242" spans="1:10" ht="9.75" customHeight="1">
      <c r="A242" s="416" t="str">
        <f>'12.lan'!D559</f>
        <v>Average Oceania</v>
      </c>
      <c r="B242" s="425" t="s">
        <v>265</v>
      </c>
      <c r="C242" s="424">
        <f>'12.ppp data'!K200</f>
        <v>1.3563308370936336</v>
      </c>
      <c r="D242" s="424"/>
      <c r="E242" s="416"/>
      <c r="F242" s="424">
        <v>3</v>
      </c>
      <c r="G242" s="416"/>
      <c r="H242" s="371"/>
      <c r="J242" s="416" t="s">
        <v>685</v>
      </c>
    </row>
    <row r="243" spans="1:10" ht="9.75" customHeight="1">
      <c r="A243" s="416">
        <f>'12.lan'!D560</f>
        <v>0</v>
      </c>
      <c r="B243" s="370"/>
      <c r="C243" s="370">
        <v>0.97803586258736475</v>
      </c>
      <c r="D243" s="370"/>
      <c r="E243" s="426"/>
      <c r="F243" s="426">
        <v>3.2380952380952381</v>
      </c>
      <c r="G243" s="427"/>
      <c r="H243" s="371"/>
      <c r="J243" s="370" t="s">
        <v>686</v>
      </c>
    </row>
    <row r="244" spans="1:10" ht="9.75" customHeight="1">
      <c r="B244" s="370"/>
      <c r="C244" s="370"/>
      <c r="D244" s="370"/>
      <c r="E244" s="426"/>
      <c r="F244" s="426"/>
      <c r="G244" s="427"/>
      <c r="H244" s="371"/>
    </row>
    <row r="245" spans="1:10" ht="9.75" customHeight="1">
      <c r="B245" s="370"/>
      <c r="C245" s="418"/>
      <c r="D245" s="418"/>
      <c r="E245" s="428"/>
      <c r="F245" s="428"/>
      <c r="G245" s="429"/>
      <c r="H245" s="417"/>
      <c r="I245" s="418"/>
    </row>
    <row r="246" spans="1:10" ht="9.75" customHeight="1">
      <c r="B246" s="370"/>
      <c r="C246" s="370"/>
      <c r="D246" s="370"/>
      <c r="E246" s="426"/>
      <c r="F246" s="426"/>
      <c r="G246" s="427"/>
      <c r="H246" s="371"/>
    </row>
    <row r="247" spans="1:10" ht="9.75" customHeight="1">
      <c r="B247" s="370"/>
      <c r="C247" s="370"/>
      <c r="D247" s="370"/>
      <c r="E247" s="426"/>
      <c r="F247" s="426"/>
      <c r="G247" s="427"/>
      <c r="H247" s="371"/>
    </row>
    <row r="248" spans="1:10" ht="9.75" customHeight="1">
      <c r="B248" s="370"/>
      <c r="C248" s="370"/>
      <c r="D248" s="370"/>
      <c r="E248" s="426"/>
      <c r="F248" s="426"/>
      <c r="G248" s="427"/>
      <c r="H248" s="371"/>
    </row>
    <row r="249" spans="1:10" ht="9.75" customHeight="1">
      <c r="B249" s="370"/>
      <c r="C249" s="370"/>
      <c r="D249" s="370"/>
      <c r="E249" s="426"/>
      <c r="F249" s="426"/>
      <c r="G249" s="427"/>
      <c r="H249" s="371"/>
    </row>
    <row r="250" spans="1:10" ht="9.75" customHeight="1">
      <c r="B250" s="370"/>
      <c r="C250" s="370"/>
      <c r="D250" s="370"/>
      <c r="E250" s="426"/>
      <c r="F250" s="426"/>
      <c r="G250" s="427"/>
      <c r="H250" s="371"/>
    </row>
    <row r="251" spans="1:10" ht="9.75" customHeight="1">
      <c r="B251" s="370"/>
      <c r="C251" s="370"/>
      <c r="D251" s="370"/>
      <c r="E251" s="426"/>
      <c r="F251" s="426"/>
      <c r="G251" s="427"/>
      <c r="H251" s="371"/>
    </row>
    <row r="252" spans="1:10" ht="9.75" customHeight="1">
      <c r="B252" s="370"/>
      <c r="C252" s="370"/>
      <c r="D252" s="370"/>
      <c r="E252" s="426"/>
      <c r="F252" s="426"/>
      <c r="G252" s="427"/>
      <c r="H252" s="371"/>
    </row>
    <row r="253" spans="1:10" ht="9.75" customHeight="1">
      <c r="B253" s="370"/>
      <c r="C253" s="370"/>
      <c r="D253" s="370"/>
      <c r="E253" s="426"/>
      <c r="F253" s="426"/>
      <c r="G253" s="427"/>
      <c r="H253" s="371"/>
    </row>
    <row r="254" spans="1:10" ht="9.75" customHeight="1">
      <c r="B254" s="370"/>
      <c r="C254" s="370"/>
      <c r="D254" s="370"/>
      <c r="E254" s="426"/>
      <c r="F254" s="426"/>
      <c r="G254" s="427"/>
      <c r="H254" s="371"/>
    </row>
    <row r="255" spans="1:10" ht="9.75" customHeight="1">
      <c r="B255" s="370"/>
      <c r="C255" s="370"/>
      <c r="D255" s="370"/>
      <c r="E255" s="426"/>
      <c r="F255" s="426"/>
      <c r="G255" s="427"/>
      <c r="H255" s="371"/>
    </row>
    <row r="256" spans="1:10" ht="9.75" customHeight="1">
      <c r="B256" s="370"/>
      <c r="C256" s="370"/>
      <c r="D256" s="370"/>
      <c r="E256" s="426"/>
      <c r="F256" s="426"/>
      <c r="G256" s="427"/>
      <c r="H256" s="371"/>
    </row>
    <row r="257" spans="5:8" s="370" customFormat="1" ht="9.75" customHeight="1">
      <c r="E257" s="426"/>
      <c r="F257" s="426"/>
      <c r="G257" s="427"/>
      <c r="H257" s="371"/>
    </row>
    <row r="258" spans="5:8" s="370" customFormat="1" ht="9.75" customHeight="1">
      <c r="E258" s="426"/>
      <c r="F258" s="426"/>
      <c r="G258" s="427"/>
      <c r="H258" s="371"/>
    </row>
    <row r="259" spans="5:8" s="370" customFormat="1" ht="9.75" customHeight="1">
      <c r="E259" s="426"/>
      <c r="F259" s="426"/>
      <c r="G259" s="427"/>
      <c r="H259" s="371"/>
    </row>
    <row r="260" spans="5:8" s="370" customFormat="1" ht="9.75" customHeight="1">
      <c r="E260" s="426"/>
      <c r="F260" s="426"/>
      <c r="G260" s="427"/>
      <c r="H260" s="371"/>
    </row>
    <row r="261" spans="5:8" s="370" customFormat="1" ht="9.75" customHeight="1">
      <c r="E261" s="426"/>
      <c r="F261" s="426"/>
      <c r="G261" s="427"/>
      <c r="H261" s="371"/>
    </row>
    <row r="262" spans="5:8" s="370" customFormat="1" ht="9.75" customHeight="1">
      <c r="E262" s="426"/>
      <c r="F262" s="426"/>
      <c r="G262" s="427"/>
      <c r="H262" s="371"/>
    </row>
    <row r="263" spans="5:8" s="370" customFormat="1" ht="9.75" customHeight="1">
      <c r="E263" s="426"/>
      <c r="F263" s="426"/>
      <c r="G263" s="427"/>
      <c r="H263" s="371"/>
    </row>
    <row r="264" spans="5:8" s="370" customFormat="1" ht="9.75" customHeight="1">
      <c r="E264" s="426"/>
      <c r="F264" s="426"/>
      <c r="G264" s="427"/>
      <c r="H264" s="371"/>
    </row>
    <row r="265" spans="5:8" s="370" customFormat="1" ht="9.75" customHeight="1">
      <c r="E265" s="426"/>
      <c r="F265" s="426"/>
      <c r="G265" s="427"/>
      <c r="H265" s="371"/>
    </row>
    <row r="266" spans="5:8" s="370" customFormat="1" ht="9.75" customHeight="1">
      <c r="E266" s="426"/>
      <c r="F266" s="426"/>
      <c r="G266" s="427"/>
      <c r="H266" s="371"/>
    </row>
    <row r="267" spans="5:8" s="370" customFormat="1" ht="9.75" customHeight="1">
      <c r="E267" s="426"/>
      <c r="F267" s="426"/>
      <c r="G267" s="427"/>
      <c r="H267" s="371"/>
    </row>
    <row r="268" spans="5:8" s="370" customFormat="1" ht="9.75" customHeight="1">
      <c r="E268" s="426"/>
      <c r="F268" s="426"/>
      <c r="G268" s="427"/>
      <c r="H268" s="371"/>
    </row>
    <row r="269" spans="5:8" s="370" customFormat="1" ht="9.75" customHeight="1">
      <c r="E269" s="426"/>
      <c r="F269" s="426"/>
      <c r="G269" s="427"/>
      <c r="H269" s="371"/>
    </row>
    <row r="270" spans="5:8" s="370" customFormat="1" ht="9.75" customHeight="1">
      <c r="E270" s="426"/>
      <c r="F270" s="426"/>
      <c r="G270" s="427"/>
      <c r="H270" s="371"/>
    </row>
    <row r="271" spans="5:8" s="370" customFormat="1" ht="9.75" customHeight="1">
      <c r="E271" s="426"/>
      <c r="F271" s="426"/>
      <c r="G271" s="427"/>
      <c r="H271" s="371"/>
    </row>
    <row r="272" spans="5:8" s="370" customFormat="1" ht="9.75" customHeight="1">
      <c r="E272" s="426"/>
      <c r="F272" s="426"/>
      <c r="G272" s="427"/>
      <c r="H272" s="371"/>
    </row>
    <row r="273" spans="2:9" ht="9.75" customHeight="1">
      <c r="B273" s="370"/>
      <c r="C273" s="370"/>
      <c r="D273" s="370"/>
      <c r="E273" s="426"/>
      <c r="F273" s="426"/>
      <c r="G273" s="427"/>
      <c r="H273" s="371"/>
    </row>
    <row r="274" spans="2:9" ht="9.75" customHeight="1">
      <c r="B274" s="370"/>
      <c r="C274" s="370"/>
      <c r="D274" s="370"/>
      <c r="E274" s="426"/>
      <c r="F274" s="426"/>
      <c r="G274" s="427"/>
      <c r="H274" s="371"/>
    </row>
    <row r="275" spans="2:9" ht="9.75" customHeight="1">
      <c r="B275" s="370"/>
      <c r="C275" s="370"/>
      <c r="D275" s="370"/>
      <c r="E275" s="426"/>
      <c r="F275" s="426"/>
      <c r="G275" s="427"/>
      <c r="H275" s="371"/>
    </row>
    <row r="276" spans="2:9" ht="9.75" customHeight="1">
      <c r="B276" s="370"/>
      <c r="C276" s="370"/>
      <c r="D276" s="370"/>
      <c r="E276" s="426"/>
      <c r="F276" s="426"/>
      <c r="G276" s="427"/>
      <c r="H276" s="371"/>
    </row>
    <row r="277" spans="2:9" ht="9.75" customHeight="1">
      <c r="B277" s="418"/>
      <c r="C277" s="418"/>
      <c r="D277" s="418"/>
      <c r="E277" s="428"/>
      <c r="F277" s="428"/>
      <c r="G277" s="429"/>
      <c r="H277" s="417"/>
      <c r="I277" s="418"/>
    </row>
    <row r="278" spans="2:9" ht="9.75" customHeight="1">
      <c r="B278" s="370"/>
      <c r="C278" s="370"/>
      <c r="D278" s="370"/>
      <c r="E278" s="426"/>
      <c r="F278" s="426"/>
      <c r="G278" s="427"/>
      <c r="H278" s="371"/>
      <c r="I278" s="422"/>
    </row>
    <row r="279" spans="2:9" ht="9.75" customHeight="1">
      <c r="B279" s="370"/>
      <c r="C279" s="370"/>
      <c r="D279" s="370"/>
      <c r="E279" s="426"/>
      <c r="F279" s="426"/>
      <c r="G279" s="427"/>
      <c r="H279" s="371"/>
    </row>
    <row r="280" spans="2:9" ht="9.75" customHeight="1">
      <c r="B280" s="370"/>
      <c r="C280" s="370"/>
      <c r="D280" s="370"/>
      <c r="E280" s="426"/>
      <c r="F280" s="426"/>
      <c r="G280" s="427"/>
      <c r="H280" s="371"/>
    </row>
    <row r="281" spans="2:9" ht="9.75" customHeight="1">
      <c r="B281" s="370"/>
      <c r="C281" s="370"/>
      <c r="D281" s="370"/>
      <c r="E281" s="426"/>
      <c r="F281" s="426"/>
      <c r="G281" s="427"/>
      <c r="H281" s="371"/>
    </row>
    <row r="282" spans="2:9" ht="9.75" customHeight="1">
      <c r="B282" s="370"/>
      <c r="C282" s="370"/>
      <c r="D282" s="370"/>
      <c r="E282" s="426"/>
      <c r="F282" s="426"/>
      <c r="G282" s="427"/>
      <c r="H282" s="371"/>
    </row>
    <row r="283" spans="2:9" ht="9.75" customHeight="1">
      <c r="B283" s="370"/>
      <c r="C283" s="370"/>
      <c r="D283" s="370"/>
      <c r="E283" s="426"/>
      <c r="F283" s="426"/>
      <c r="G283" s="427"/>
      <c r="H283" s="371"/>
    </row>
    <row r="284" spans="2:9" ht="9.75" customHeight="1">
      <c r="B284" s="370"/>
      <c r="C284" s="370"/>
      <c r="D284" s="370"/>
      <c r="E284" s="426"/>
      <c r="F284" s="426"/>
      <c r="G284" s="427"/>
      <c r="H284" s="371"/>
    </row>
    <row r="285" spans="2:9" ht="9.75" customHeight="1">
      <c r="B285" s="370"/>
      <c r="C285" s="370"/>
      <c r="D285" s="370"/>
      <c r="E285" s="426"/>
      <c r="F285" s="426"/>
      <c r="G285" s="427"/>
      <c r="H285" s="371"/>
    </row>
    <row r="286" spans="2:9" ht="9.75" customHeight="1">
      <c r="B286" s="370"/>
      <c r="C286" s="370"/>
      <c r="D286" s="370"/>
      <c r="E286" s="426"/>
      <c r="F286" s="426"/>
      <c r="G286" s="427"/>
      <c r="H286" s="371"/>
    </row>
    <row r="287" spans="2:9" ht="9.75" customHeight="1">
      <c r="B287" s="370"/>
      <c r="C287" s="370"/>
      <c r="D287" s="370"/>
      <c r="E287" s="426"/>
      <c r="F287" s="426"/>
      <c r="G287" s="427"/>
      <c r="H287" s="371"/>
    </row>
    <row r="288" spans="2:9" ht="9.75" customHeight="1">
      <c r="B288" s="370"/>
      <c r="C288" s="370"/>
      <c r="D288" s="370"/>
      <c r="E288" s="426"/>
      <c r="F288" s="426"/>
      <c r="G288" s="427"/>
      <c r="H288" s="371"/>
    </row>
    <row r="289" spans="5:8" s="370" customFormat="1" ht="9.75" customHeight="1">
      <c r="E289" s="426"/>
      <c r="F289" s="426"/>
      <c r="G289" s="427"/>
      <c r="H289" s="371"/>
    </row>
    <row r="290" spans="5:8" s="370" customFormat="1" ht="9.75" customHeight="1">
      <c r="E290" s="426"/>
      <c r="F290" s="426"/>
      <c r="G290" s="427"/>
      <c r="H290" s="371"/>
    </row>
    <row r="291" spans="5:8" s="370" customFormat="1" ht="9.75" customHeight="1">
      <c r="E291" s="426"/>
      <c r="F291" s="426"/>
      <c r="G291" s="427"/>
      <c r="H291" s="371"/>
    </row>
    <row r="292" spans="5:8" s="370" customFormat="1" ht="9.75" customHeight="1">
      <c r="E292" s="426"/>
      <c r="F292" s="426"/>
      <c r="G292" s="427"/>
      <c r="H292" s="371"/>
    </row>
    <row r="293" spans="5:8" s="370" customFormat="1" ht="9.75" customHeight="1">
      <c r="E293" s="430"/>
      <c r="F293" s="430"/>
      <c r="G293" s="431"/>
      <c r="H293" s="371"/>
    </row>
  </sheetData>
  <sheetProtection algorithmName="SHA-512" hashValue="gq/fgxHBALLRV/7RZreZoAnL8uqbor+DRLH2l59rM6imZ0Lntlp9gT8JJ3SOExtdlOWmLZWfSEZyo8X9tpfOUA==" saltValue="nVYCSfCn/c2mznDhLHcPqw==" spinCount="100000" sheet="1" selectLockedCells="1" selectUnlockedCells="1"/>
  <mergeCells count="6">
    <mergeCell ref="A1:G1"/>
    <mergeCell ref="L2:N2"/>
    <mergeCell ref="O2:Q2"/>
    <mergeCell ref="B3:B8"/>
    <mergeCell ref="G3:G8"/>
    <mergeCell ref="J8:M8"/>
  </mergeCells>
  <hyperlinks>
    <hyperlink ref="E19" r:id="rId1" xr:uid="{00000000-0004-0000-0B00-000000000000}"/>
  </hyperlinks>
  <pageMargins left="0.7" right="0.7" top="0.75" bottom="0.75" header="0.51180555555555551" footer="0.51180555555555551"/>
  <pageSetup paperSize="9" firstPageNumber="0"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
  <dimension ref="C2:L273"/>
  <sheetViews>
    <sheetView zoomScale="90" zoomScaleNormal="90" workbookViewId="0">
      <pane xSplit="2" ySplit="2" topLeftCell="C186" activePane="bottomRight" state="frozen"/>
      <selection pane="topRight" activeCell="C1" sqref="C1"/>
      <selection pane="bottomLeft" activeCell="A3" sqref="A3"/>
      <selection pane="bottomRight" activeCell="F204" sqref="F204"/>
    </sheetView>
  </sheetViews>
  <sheetFormatPr baseColWidth="10" defaultRowHeight="15"/>
  <cols>
    <col min="1" max="1" width="6.140625" customWidth="1"/>
    <col min="2" max="2" width="5.85546875" customWidth="1"/>
    <col min="3" max="3" width="37.5703125" customWidth="1"/>
    <col min="4" max="4" width="11.7109375" style="444" customWidth="1"/>
    <col min="5" max="5" width="18" style="444" customWidth="1"/>
    <col min="6" max="6" width="17.5703125" style="444" customWidth="1"/>
    <col min="7" max="7" width="14.7109375" customWidth="1"/>
  </cols>
  <sheetData>
    <row r="2" spans="3:12" s="437" customFormat="1" ht="55.5" customHeight="1">
      <c r="C2" s="437" t="s">
        <v>241</v>
      </c>
      <c r="D2" s="439" t="s">
        <v>3183</v>
      </c>
      <c r="E2" s="439" t="s">
        <v>3185</v>
      </c>
      <c r="F2" s="439" t="s">
        <v>3184</v>
      </c>
      <c r="G2" s="439" t="s">
        <v>3186</v>
      </c>
      <c r="H2" s="439" t="s">
        <v>113</v>
      </c>
      <c r="J2" s="437" t="s">
        <v>244</v>
      </c>
      <c r="K2" s="437" t="s">
        <v>3187</v>
      </c>
    </row>
    <row r="3" spans="3:12">
      <c r="C3" s="446" t="s">
        <v>603</v>
      </c>
      <c r="D3" s="444">
        <v>1.1294900000000001</v>
      </c>
      <c r="F3" s="444">
        <v>12463.563519801301</v>
      </c>
      <c r="G3" s="445">
        <f t="shared" ref="G3:G66" si="0">D3*E3/F3</f>
        <v>0</v>
      </c>
      <c r="H3" t="str">
        <f>VLOOKUP(C3,'11.Region'!$B$22:$E$243,4,FALSE)</f>
        <v>Africa</v>
      </c>
      <c r="I3" s="436">
        <f>$K$3</f>
        <v>3.0325616327831186</v>
      </c>
      <c r="J3" t="s">
        <v>244</v>
      </c>
      <c r="K3" s="435">
        <f>AVERAGE(G5:G51)</f>
        <v>3.0325616327831186</v>
      </c>
      <c r="L3" s="433" t="s">
        <v>251</v>
      </c>
    </row>
    <row r="4" spans="3:12">
      <c r="C4" s="446" t="s">
        <v>679</v>
      </c>
      <c r="D4" s="444">
        <v>1.1294900000000001</v>
      </c>
      <c r="F4" s="444">
        <v>0.51762968529525999</v>
      </c>
      <c r="G4" s="445">
        <f t="shared" si="0"/>
        <v>0</v>
      </c>
      <c r="H4" t="str">
        <f>VLOOKUP(C4,'11.Region'!$B$22:$E$243,4,FALSE)</f>
        <v>Africa</v>
      </c>
      <c r="I4" s="436">
        <f>$K$3</f>
        <v>3.0325616327831186</v>
      </c>
      <c r="J4" t="s">
        <v>244</v>
      </c>
    </row>
    <row r="5" spans="3:12">
      <c r="C5" s="446" t="s">
        <v>250</v>
      </c>
      <c r="D5" s="444">
        <v>1.1294900000000001</v>
      </c>
      <c r="E5" s="444">
        <v>165.09041999999999</v>
      </c>
      <c r="F5" s="444">
        <v>108.299425238122</v>
      </c>
      <c r="G5" s="445">
        <f t="shared" si="0"/>
        <v>1.7217817922468739</v>
      </c>
      <c r="H5" t="str">
        <f>VLOOKUP(C5,'11.Region'!$B$22:$E$243,4,FALSE)</f>
        <v>Africa</v>
      </c>
      <c r="I5" s="436">
        <f>G5</f>
        <v>1.7217817922468739</v>
      </c>
    </row>
    <row r="6" spans="3:12">
      <c r="C6" s="446" t="s">
        <v>583</v>
      </c>
      <c r="D6" s="444">
        <v>1.1294900000000001</v>
      </c>
      <c r="E6" s="444">
        <v>6.6066799999999999</v>
      </c>
      <c r="F6" s="444">
        <v>4.1377654584988903</v>
      </c>
      <c r="G6" s="445">
        <f t="shared" si="0"/>
        <v>1.8034320862418214</v>
      </c>
      <c r="H6" t="str">
        <f>VLOOKUP(C6,'11.Region'!$B$22:$E$243,4,FALSE)</f>
        <v>Africa</v>
      </c>
      <c r="I6" s="436">
        <f t="shared" ref="I6:I51" si="1">G6</f>
        <v>1.8034320862418214</v>
      </c>
    </row>
    <row r="7" spans="3:12">
      <c r="C7" s="446" t="s">
        <v>311</v>
      </c>
      <c r="D7" s="444">
        <v>1.1294900000000001</v>
      </c>
      <c r="E7" s="444">
        <v>581.90317000000005</v>
      </c>
      <c r="F7" s="444">
        <v>335.50036162285897</v>
      </c>
      <c r="G7" s="445">
        <f t="shared" si="0"/>
        <v>1.959025642488365</v>
      </c>
      <c r="H7" t="str">
        <f>VLOOKUP(C7,'11.Region'!$B$22:$E$243,4,FALSE)</f>
        <v>Africa</v>
      </c>
      <c r="I7" s="436">
        <f t="shared" si="1"/>
        <v>1.959025642488365</v>
      </c>
    </row>
    <row r="8" spans="3:12">
      <c r="C8" s="446" t="s">
        <v>617</v>
      </c>
      <c r="D8" s="444">
        <v>1.1294900000000001</v>
      </c>
      <c r="E8" s="444">
        <v>12.72334</v>
      </c>
      <c r="F8" s="444">
        <v>7.3058650570550903</v>
      </c>
      <c r="G8" s="445">
        <f t="shared" si="0"/>
        <v>1.9670340451638095</v>
      </c>
      <c r="H8" t="str">
        <f>VLOOKUP(C8,'11.Region'!$B$22:$E$243,4,FALSE)</f>
        <v>Africa</v>
      </c>
      <c r="I8" s="436">
        <f t="shared" si="1"/>
        <v>1.9670340451638095</v>
      </c>
    </row>
    <row r="9" spans="3:12">
      <c r="C9" s="446" t="s">
        <v>325</v>
      </c>
      <c r="D9" s="444">
        <v>1.1294900000000001</v>
      </c>
      <c r="E9" s="444">
        <v>1440.44336</v>
      </c>
      <c r="F9" s="444">
        <v>763.855751739276</v>
      </c>
      <c r="G9" s="445">
        <f t="shared" si="0"/>
        <v>2.1299392810512296</v>
      </c>
      <c r="H9" t="str">
        <f>VLOOKUP(C9,'11.Region'!$B$22:$E$243,4,FALSE)</f>
        <v>Africa</v>
      </c>
      <c r="I9" s="436">
        <f t="shared" si="1"/>
        <v>2.1299392810512296</v>
      </c>
    </row>
    <row r="10" spans="3:12">
      <c r="C10" s="446" t="s">
        <v>331</v>
      </c>
      <c r="D10" s="444">
        <v>1.1294900000000001</v>
      </c>
      <c r="E10" s="444">
        <v>436.44655</v>
      </c>
      <c r="F10" s="444">
        <v>224.23769243185501</v>
      </c>
      <c r="G10" s="445">
        <f t="shared" si="0"/>
        <v>2.1983905043497955</v>
      </c>
      <c r="H10" t="str">
        <f>VLOOKUP(C10,'11.Region'!$B$22:$E$243,4,FALSE)</f>
        <v>Africa</v>
      </c>
      <c r="I10" s="436">
        <f t="shared" si="1"/>
        <v>2.1983905043497955</v>
      </c>
    </row>
    <row r="11" spans="3:12">
      <c r="C11" s="446" t="s">
        <v>525</v>
      </c>
      <c r="D11" s="444">
        <v>1.1294900000000001</v>
      </c>
      <c r="E11" s="444">
        <v>13.299200000000001</v>
      </c>
      <c r="F11" s="444">
        <v>6.6430047961537504</v>
      </c>
      <c r="G11" s="445">
        <f t="shared" si="0"/>
        <v>2.2612227250983215</v>
      </c>
      <c r="H11" t="str">
        <f>VLOOKUP(C11,'11.Region'!$B$22:$E$243,4,FALSE)</f>
        <v>Africa</v>
      </c>
      <c r="I11" s="436">
        <f t="shared" si="1"/>
        <v>2.2612227250983215</v>
      </c>
    </row>
    <row r="12" spans="3:12">
      <c r="C12" s="446" t="s">
        <v>519</v>
      </c>
      <c r="D12" s="444">
        <v>1.1294900000000001</v>
      </c>
      <c r="E12" s="444">
        <v>33.257289999999998</v>
      </c>
      <c r="F12" s="444">
        <v>16.324395254109199</v>
      </c>
      <c r="G12" s="445">
        <f t="shared" si="0"/>
        <v>2.3010822696567823</v>
      </c>
      <c r="H12" t="str">
        <f>VLOOKUP(C12,'11.Region'!$B$22:$E$243,4,FALSE)</f>
        <v>Africa</v>
      </c>
      <c r="I12" s="436">
        <f t="shared" si="1"/>
        <v>2.3010822696567823</v>
      </c>
    </row>
    <row r="13" spans="3:12">
      <c r="C13" s="446" t="s">
        <v>333</v>
      </c>
      <c r="D13" s="444">
        <v>1.1294900000000001</v>
      </c>
      <c r="E13" s="444">
        <v>97.816749999999999</v>
      </c>
      <c r="F13" s="444">
        <v>45.992605173420998</v>
      </c>
      <c r="G13" s="445">
        <f t="shared" si="0"/>
        <v>2.4021914075297448</v>
      </c>
      <c r="H13" t="str">
        <f>VLOOKUP(C13,'11.Region'!$B$22:$E$243,4,FALSE)</f>
        <v>Africa</v>
      </c>
      <c r="I13" s="436">
        <f t="shared" si="1"/>
        <v>2.4021914075297448</v>
      </c>
    </row>
    <row r="14" spans="3:12">
      <c r="C14" s="446" t="s">
        <v>447</v>
      </c>
      <c r="D14" s="444">
        <v>1.1294900000000001</v>
      </c>
      <c r="E14" s="444">
        <v>101.76897</v>
      </c>
      <c r="F14" s="444">
        <v>47.452447784598498</v>
      </c>
      <c r="G14" s="445">
        <f t="shared" si="0"/>
        <v>2.4223625817382604</v>
      </c>
      <c r="H14" t="str">
        <f>VLOOKUP(C14,'11.Region'!$B$22:$E$243,4,FALSE)</f>
        <v>Africa</v>
      </c>
      <c r="I14" s="436">
        <f t="shared" si="1"/>
        <v>2.4223625817382604</v>
      </c>
    </row>
    <row r="15" spans="3:12">
      <c r="C15" s="446" t="s">
        <v>675</v>
      </c>
      <c r="D15" s="444">
        <v>1.1294900000000001</v>
      </c>
      <c r="E15" s="444">
        <v>13.299200000000001</v>
      </c>
      <c r="F15" s="444">
        <v>6.0762570281131003</v>
      </c>
      <c r="G15" s="445">
        <f t="shared" si="0"/>
        <v>2.4721326531285115</v>
      </c>
      <c r="H15" t="str">
        <f>VLOOKUP(C15,'11.Region'!$B$22:$E$243,4,FALSE)</f>
        <v>Africa</v>
      </c>
      <c r="I15" s="436">
        <f t="shared" si="1"/>
        <v>2.4721326531285115</v>
      </c>
    </row>
    <row r="16" spans="3:12">
      <c r="C16" s="446" t="s">
        <v>309</v>
      </c>
      <c r="D16" s="444">
        <v>1.1294900000000001</v>
      </c>
      <c r="E16" s="444">
        <v>10.22584</v>
      </c>
      <c r="F16" s="444">
        <v>4.5288649655425299</v>
      </c>
      <c r="G16" s="445">
        <f t="shared" si="0"/>
        <v>2.5503043498706708</v>
      </c>
      <c r="H16" t="str">
        <f>VLOOKUP(C16,'11.Region'!$B$22:$E$243,4,FALSE)</f>
        <v>Africa</v>
      </c>
      <c r="I16" s="436">
        <f t="shared" si="1"/>
        <v>2.5503043498706708</v>
      </c>
    </row>
    <row r="17" spans="3:9">
      <c r="C17" s="446" t="s">
        <v>395</v>
      </c>
      <c r="D17" s="444">
        <v>1.1294900000000001</v>
      </c>
      <c r="E17" s="444">
        <v>581.57419000000004</v>
      </c>
      <c r="F17" s="444">
        <v>247.754889036848</v>
      </c>
      <c r="G17" s="445">
        <f t="shared" si="0"/>
        <v>2.6513391296403581</v>
      </c>
      <c r="H17" t="str">
        <f>VLOOKUP(C17,'11.Region'!$B$22:$E$243,4,FALSE)</f>
        <v>Africa</v>
      </c>
      <c r="I17" s="436">
        <f t="shared" si="1"/>
        <v>2.6513391296403581</v>
      </c>
    </row>
    <row r="18" spans="3:9">
      <c r="C18" s="446" t="s">
        <v>275</v>
      </c>
      <c r="D18" s="444">
        <v>1.1294900000000001</v>
      </c>
      <c r="E18" s="444">
        <v>1699.34338</v>
      </c>
      <c r="F18" s="444">
        <v>717.88571949917002</v>
      </c>
      <c r="G18" s="445">
        <f t="shared" si="0"/>
        <v>2.6736725667356298</v>
      </c>
      <c r="H18" t="str">
        <f>VLOOKUP(C18,'11.Region'!$B$22:$E$243,4,FALSE)</f>
        <v>Africa</v>
      </c>
      <c r="I18" s="436">
        <f t="shared" si="1"/>
        <v>2.6736725667356298</v>
      </c>
    </row>
    <row r="19" spans="3:9">
      <c r="C19" s="446" t="s">
        <v>321</v>
      </c>
      <c r="D19" s="444">
        <v>1.1294900000000001</v>
      </c>
      <c r="E19" s="444">
        <v>581.57419000000004</v>
      </c>
      <c r="F19" s="444">
        <v>244.77749630749099</v>
      </c>
      <c r="G19" s="445">
        <f t="shared" si="0"/>
        <v>2.6835891443138244</v>
      </c>
      <c r="H19" t="str">
        <f>VLOOKUP(C19,'11.Region'!$B$22:$E$243,4,FALSE)</f>
        <v>Africa</v>
      </c>
      <c r="I19" s="436">
        <f t="shared" si="1"/>
        <v>2.6835891443138244</v>
      </c>
    </row>
    <row r="20" spans="3:9">
      <c r="C20" s="446" t="s">
        <v>467</v>
      </c>
      <c r="D20" s="444">
        <v>1.1294900000000001</v>
      </c>
      <c r="E20" s="444">
        <v>1.3707</v>
      </c>
      <c r="F20" s="444">
        <v>0.56442871547032702</v>
      </c>
      <c r="G20" s="445">
        <f t="shared" si="0"/>
        <v>2.7429361769978748</v>
      </c>
      <c r="H20" t="str">
        <f>VLOOKUP(C20,'11.Region'!$B$22:$E$243,4,FALSE)</f>
        <v>Africa</v>
      </c>
      <c r="I20" s="436">
        <f t="shared" si="1"/>
        <v>2.7429361769978748</v>
      </c>
    </row>
    <row r="21" spans="3:9">
      <c r="C21" s="446" t="s">
        <v>381</v>
      </c>
      <c r="D21" s="444">
        <v>1.1294900000000001</v>
      </c>
      <c r="E21" s="444">
        <v>581.90317000000005</v>
      </c>
      <c r="F21" s="444">
        <v>231.155170200789</v>
      </c>
      <c r="G21" s="445">
        <f t="shared" si="0"/>
        <v>2.843344628252908</v>
      </c>
      <c r="H21" t="str">
        <f>VLOOKUP(C21,'11.Region'!$B$22:$E$243,4,FALSE)</f>
        <v>Africa</v>
      </c>
      <c r="I21" s="436">
        <f t="shared" si="1"/>
        <v>2.843344628252908</v>
      </c>
    </row>
    <row r="22" spans="3:9">
      <c r="C22" s="446" t="s">
        <v>397</v>
      </c>
      <c r="D22" s="444">
        <v>1.1294900000000001</v>
      </c>
      <c r="E22" s="444">
        <v>581.90317000000005</v>
      </c>
      <c r="F22" s="444">
        <v>231.03801762813501</v>
      </c>
      <c r="G22" s="445">
        <f t="shared" si="0"/>
        <v>2.8447864045525897</v>
      </c>
      <c r="H22" t="str">
        <f>VLOOKUP(C22,'11.Region'!$B$22:$E$243,4,FALSE)</f>
        <v>Africa</v>
      </c>
      <c r="I22" s="436">
        <f t="shared" si="1"/>
        <v>2.8447864045525897</v>
      </c>
    </row>
    <row r="23" spans="3:9">
      <c r="C23" s="446" t="s">
        <v>625</v>
      </c>
      <c r="D23" s="444">
        <v>1.1294900000000001</v>
      </c>
      <c r="E23" s="444">
        <v>581.57419000000004</v>
      </c>
      <c r="F23" s="444">
        <v>228.864685269555</v>
      </c>
      <c r="G23" s="445">
        <f t="shared" si="0"/>
        <v>2.8701773324680016</v>
      </c>
      <c r="H23" t="str">
        <f>VLOOKUP(C23,'11.Region'!$B$22:$E$243,4,FALSE)</f>
        <v>Africa</v>
      </c>
      <c r="I23" s="436">
        <f t="shared" si="1"/>
        <v>2.8701773324680016</v>
      </c>
    </row>
    <row r="24" spans="3:9">
      <c r="C24" s="446" t="s">
        <v>323</v>
      </c>
      <c r="D24" s="444">
        <v>1.1294900000000001</v>
      </c>
      <c r="E24" s="444">
        <v>581.90317000000005</v>
      </c>
      <c r="F24" s="444">
        <v>227.95678457902599</v>
      </c>
      <c r="G24" s="445">
        <f t="shared" si="0"/>
        <v>2.8832386484879957</v>
      </c>
      <c r="H24" t="str">
        <f>VLOOKUP(C24,'11.Region'!$B$22:$E$243,4,FALSE)</f>
        <v>Africa</v>
      </c>
      <c r="I24" s="436">
        <f t="shared" si="1"/>
        <v>2.8832386484879957</v>
      </c>
    </row>
    <row r="25" spans="3:9">
      <c r="C25" s="446" t="s">
        <v>369</v>
      </c>
      <c r="D25" s="444">
        <v>1.1294900000000001</v>
      </c>
      <c r="E25" s="444">
        <v>23.72109</v>
      </c>
      <c r="F25" s="444">
        <v>9.0633695215015706</v>
      </c>
      <c r="G25" s="445">
        <f t="shared" si="0"/>
        <v>2.9561559727359685</v>
      </c>
      <c r="H25" t="str">
        <f>VLOOKUP(C25,'11.Region'!$B$22:$E$243,4,FALSE)</f>
        <v>Africa</v>
      </c>
      <c r="I25" s="436">
        <f t="shared" si="1"/>
        <v>2.9561559727359685</v>
      </c>
    </row>
    <row r="26" spans="3:9">
      <c r="C26" s="446" t="s">
        <v>585</v>
      </c>
      <c r="D26" s="444">
        <v>1.1294900000000001</v>
      </c>
      <c r="E26" s="444">
        <v>581.57419000000004</v>
      </c>
      <c r="F26" s="444">
        <v>221.70707863836901</v>
      </c>
      <c r="G26" s="445">
        <f t="shared" si="0"/>
        <v>2.9628383355975485</v>
      </c>
      <c r="H26" t="str">
        <f>VLOOKUP(C26,'11.Region'!$B$22:$E$243,4,FALSE)</f>
        <v>Africa</v>
      </c>
      <c r="I26" s="436">
        <f t="shared" si="1"/>
        <v>2.9628383355975485</v>
      </c>
    </row>
    <row r="27" spans="3:9">
      <c r="C27" s="446" t="s">
        <v>613</v>
      </c>
      <c r="D27" s="444">
        <v>1.1294900000000001</v>
      </c>
      <c r="E27" s="444">
        <v>13.299200000000001</v>
      </c>
      <c r="F27" s="444">
        <v>5.0602621118104203</v>
      </c>
      <c r="G27" s="445">
        <f t="shared" si="0"/>
        <v>2.9684852436677032</v>
      </c>
      <c r="H27" t="str">
        <f>VLOOKUP(C27,'11.Region'!$B$22:$E$243,4,FALSE)</f>
        <v>Africa</v>
      </c>
      <c r="I27" s="436">
        <f t="shared" si="1"/>
        <v>2.9684852436677032</v>
      </c>
    </row>
    <row r="28" spans="3:9">
      <c r="C28" s="446" t="s">
        <v>475</v>
      </c>
      <c r="D28" s="444">
        <v>1.1294900000000001</v>
      </c>
      <c r="E28" s="444">
        <v>13.299200000000001</v>
      </c>
      <c r="F28" s="444">
        <v>5.0342674072109403</v>
      </c>
      <c r="G28" s="445">
        <f t="shared" si="0"/>
        <v>2.9838131733892213</v>
      </c>
      <c r="H28" t="str">
        <f>VLOOKUP(C28,'11.Region'!$B$22:$E$243,4,FALSE)</f>
        <v>Africa</v>
      </c>
      <c r="I28" s="436">
        <f t="shared" si="1"/>
        <v>2.9838131733892213</v>
      </c>
    </row>
    <row r="29" spans="3:9">
      <c r="C29" s="446" t="s">
        <v>391</v>
      </c>
      <c r="D29" s="444">
        <v>1.1294900000000001</v>
      </c>
      <c r="E29" s="444">
        <v>9041.4848099999999</v>
      </c>
      <c r="F29" s="444">
        <v>3386.1175606756501</v>
      </c>
      <c r="G29" s="445">
        <f t="shared" si="0"/>
        <v>3.0159220685796839</v>
      </c>
      <c r="H29" t="str">
        <f>VLOOKUP(C29,'11.Region'!$B$22:$E$243,4,FALSE)</f>
        <v>Africa</v>
      </c>
      <c r="I29" s="436">
        <f t="shared" si="1"/>
        <v>3.0159220685796839</v>
      </c>
    </row>
    <row r="30" spans="3:9">
      <c r="C30" s="446" t="s">
        <v>677</v>
      </c>
      <c r="D30" s="444">
        <v>1.1294900000000001</v>
      </c>
      <c r="E30" s="444">
        <v>9.4935399999999994</v>
      </c>
      <c r="F30" s="444">
        <v>3.5485394978903</v>
      </c>
      <c r="G30" s="445">
        <f t="shared" si="0"/>
        <v>3.0217667017585748</v>
      </c>
      <c r="H30" t="str">
        <f>VLOOKUP(C30,'11.Region'!$B$22:$E$243,4,FALSE)</f>
        <v>Africa</v>
      </c>
      <c r="I30" s="436">
        <f t="shared" si="1"/>
        <v>3.0217667017585748</v>
      </c>
    </row>
    <row r="31" spans="3:9">
      <c r="C31" s="446" t="s">
        <v>503</v>
      </c>
      <c r="D31" s="444">
        <v>1.1294900000000001</v>
      </c>
      <c r="E31" s="444">
        <v>581.57419000000004</v>
      </c>
      <c r="F31" s="444">
        <v>217.03135676952999</v>
      </c>
      <c r="G31" s="445">
        <f t="shared" si="0"/>
        <v>3.0266697017457096</v>
      </c>
      <c r="H31" t="str">
        <f>VLOOKUP(C31,'11.Region'!$B$22:$E$243,4,FALSE)</f>
        <v>Africa</v>
      </c>
      <c r="I31" s="436">
        <f t="shared" si="1"/>
        <v>3.0266697017457096</v>
      </c>
    </row>
    <row r="32" spans="3:9">
      <c r="C32" s="446" t="s">
        <v>529</v>
      </c>
      <c r="D32" s="444">
        <v>1.1294900000000001</v>
      </c>
      <c r="E32" s="444">
        <v>581.57419000000004</v>
      </c>
      <c r="F32" s="444">
        <v>216.47048493677701</v>
      </c>
      <c r="G32" s="445">
        <f t="shared" si="0"/>
        <v>3.0345117582886689</v>
      </c>
      <c r="H32" t="str">
        <f>VLOOKUP(C32,'11.Region'!$B$22:$E$243,4,FALSE)</f>
        <v>Africa</v>
      </c>
      <c r="I32" s="436">
        <f t="shared" si="1"/>
        <v>3.0345117582886689</v>
      </c>
    </row>
    <row r="33" spans="3:9">
      <c r="C33" s="446" t="s">
        <v>579</v>
      </c>
      <c r="D33" s="444">
        <v>1.1294900000000001</v>
      </c>
      <c r="E33" s="444">
        <v>823.42092000000002</v>
      </c>
      <c r="F33" s="444">
        <v>305.70607812662502</v>
      </c>
      <c r="G33" s="445">
        <f t="shared" si="0"/>
        <v>3.0422872212098131</v>
      </c>
      <c r="H33" t="str">
        <f>VLOOKUP(C33,'11.Region'!$B$22:$E$243,4,FALSE)</f>
        <v>Africa</v>
      </c>
      <c r="I33" s="436">
        <f t="shared" si="1"/>
        <v>3.0422872212098131</v>
      </c>
    </row>
    <row r="34" spans="3:9">
      <c r="C34" s="446" t="s">
        <v>487</v>
      </c>
      <c r="D34" s="444">
        <v>1.1294900000000001</v>
      </c>
      <c r="E34" s="444">
        <v>9.5799199999999995</v>
      </c>
      <c r="F34" s="444">
        <v>3.54686354775819</v>
      </c>
      <c r="G34" s="445">
        <f t="shared" si="0"/>
        <v>3.0507020343760036</v>
      </c>
      <c r="H34" t="str">
        <f>VLOOKUP(C34,'11.Region'!$B$22:$E$243,4,FALSE)</f>
        <v>Africa</v>
      </c>
      <c r="I34" s="436">
        <f t="shared" si="1"/>
        <v>3.0507020343760036</v>
      </c>
    </row>
    <row r="35" spans="3:9">
      <c r="C35" s="446" t="s">
        <v>279</v>
      </c>
      <c r="D35" s="444">
        <v>1.1294900000000001</v>
      </c>
      <c r="E35" s="444">
        <v>581.57419000000004</v>
      </c>
      <c r="F35" s="444">
        <v>212.70077197001399</v>
      </c>
      <c r="G35" s="445">
        <f t="shared" si="0"/>
        <v>3.0882926553539054</v>
      </c>
      <c r="H35" t="str">
        <f>VLOOKUP(C35,'11.Region'!$B$22:$E$243,4,FALSE)</f>
        <v>Africa</v>
      </c>
      <c r="I35" s="436">
        <f t="shared" si="1"/>
        <v>3.0882926553539054</v>
      </c>
    </row>
    <row r="36" spans="3:9">
      <c r="C36" s="446" t="s">
        <v>281</v>
      </c>
      <c r="D36" s="444">
        <v>1.1294900000000001</v>
      </c>
      <c r="E36" s="444">
        <v>581.57419000000004</v>
      </c>
      <c r="F36" s="444">
        <v>208.924006880881</v>
      </c>
      <c r="G36" s="445">
        <f t="shared" si="0"/>
        <v>3.1441203989430693</v>
      </c>
      <c r="H36" t="str">
        <f>VLOOKUP(C36,'11.Region'!$B$22:$E$243,4,FALSE)</f>
        <v>Africa</v>
      </c>
      <c r="I36" s="436">
        <f t="shared" si="1"/>
        <v>3.1441203989430693</v>
      </c>
    </row>
    <row r="37" spans="3:9">
      <c r="C37" s="446" t="s">
        <v>387</v>
      </c>
      <c r="D37" s="444">
        <v>1.1294900000000001</v>
      </c>
      <c r="E37" s="438">
        <v>4.379563096</v>
      </c>
      <c r="F37" s="438">
        <v>1.5386671271163801</v>
      </c>
      <c r="G37" s="445">
        <f t="shared" si="0"/>
        <v>3.2149076522948876</v>
      </c>
      <c r="H37" t="str">
        <f>VLOOKUP(C37,'11.Region'!$B$22:$E$243,4,FALSE)</f>
        <v>Africa</v>
      </c>
      <c r="I37" s="436">
        <f t="shared" si="1"/>
        <v>3.2149076522948876</v>
      </c>
    </row>
    <row r="38" spans="3:9">
      <c r="C38" s="446" t="s">
        <v>623</v>
      </c>
      <c r="D38" s="444">
        <v>1.1294900000000001</v>
      </c>
      <c r="E38" s="444">
        <v>581.90317000000005</v>
      </c>
      <c r="F38" s="444">
        <v>200.876869467229</v>
      </c>
      <c r="G38" s="445">
        <f t="shared" si="0"/>
        <v>3.2719238069892578</v>
      </c>
      <c r="H38" t="str">
        <f>VLOOKUP(C38,'11.Region'!$B$22:$E$243,4,FALSE)</f>
        <v>Africa</v>
      </c>
      <c r="I38" s="436">
        <f t="shared" si="1"/>
        <v>3.2719238069892578</v>
      </c>
    </row>
    <row r="39" spans="3:9">
      <c r="C39" s="446" t="s">
        <v>515</v>
      </c>
      <c r="D39" s="444">
        <v>1.1294900000000001</v>
      </c>
      <c r="E39" s="444">
        <v>63.952289999999998</v>
      </c>
      <c r="F39" s="444">
        <v>21.2034188057773</v>
      </c>
      <c r="G39" s="445">
        <f t="shared" si="0"/>
        <v>3.4066898689195604</v>
      </c>
      <c r="H39" t="str">
        <f>VLOOKUP(C39,'11.Region'!$B$22:$E$243,4,FALSE)</f>
        <v>Africa</v>
      </c>
      <c r="I39" s="436">
        <f t="shared" si="1"/>
        <v>3.4066898689195604</v>
      </c>
    </row>
    <row r="40" spans="3:9">
      <c r="C40" s="446" t="s">
        <v>645</v>
      </c>
      <c r="D40" s="444">
        <v>1.1294900000000001</v>
      </c>
      <c r="E40" s="444">
        <v>2203.9814999999999</v>
      </c>
      <c r="F40" s="444">
        <v>708.42987542494097</v>
      </c>
      <c r="G40" s="445">
        <f t="shared" si="0"/>
        <v>3.5139329251773668</v>
      </c>
      <c r="H40" t="str">
        <f>VLOOKUP(C40,'11.Region'!$B$22:$E$243,4,FALSE)</f>
        <v>Africa</v>
      </c>
      <c r="I40" s="436">
        <f t="shared" si="1"/>
        <v>3.5139329251773668</v>
      </c>
    </row>
    <row r="41" spans="3:9">
      <c r="C41" s="446" t="s">
        <v>591</v>
      </c>
      <c r="D41" s="444">
        <v>1.1294900000000001</v>
      </c>
      <c r="E41" s="444">
        <v>7455.1746800000001</v>
      </c>
      <c r="F41" s="444">
        <v>2393.50987734811</v>
      </c>
      <c r="G41" s="445">
        <f t="shared" si="0"/>
        <v>3.5180741592103839</v>
      </c>
      <c r="H41" t="str">
        <f>VLOOKUP(C41,'11.Region'!$B$22:$E$243,4,FALSE)</f>
        <v>Africa</v>
      </c>
      <c r="I41" s="436">
        <f t="shared" si="1"/>
        <v>3.5180741592103839</v>
      </c>
    </row>
    <row r="42" spans="3:9">
      <c r="C42" s="446" t="s">
        <v>647</v>
      </c>
      <c r="D42" s="444">
        <v>1.1294900000000001</v>
      </c>
      <c r="E42" s="444">
        <v>3572.01577</v>
      </c>
      <c r="F42" s="444">
        <v>1143.4724145033399</v>
      </c>
      <c r="G42" s="445">
        <f t="shared" si="0"/>
        <v>3.5283370555202107</v>
      </c>
      <c r="H42" t="str">
        <f>VLOOKUP(C42,'11.Region'!$B$22:$E$243,4,FALSE)</f>
        <v>Africa</v>
      </c>
      <c r="I42" s="436">
        <f t="shared" si="1"/>
        <v>3.5283370555202107</v>
      </c>
    </row>
    <row r="43" spans="3:9">
      <c r="C43" s="446" t="s">
        <v>531</v>
      </c>
      <c r="D43" s="444">
        <v>1.1294900000000001</v>
      </c>
      <c r="E43" s="444">
        <v>331.66748999999999</v>
      </c>
      <c r="F43" s="444">
        <v>102.709364222796</v>
      </c>
      <c r="G43" s="445">
        <f t="shared" si="0"/>
        <v>3.6473316344115339</v>
      </c>
      <c r="H43" t="str">
        <f>VLOOKUP(C43,'11.Region'!$B$22:$E$243,4,FALSE)</f>
        <v>Africa</v>
      </c>
      <c r="I43" s="436">
        <f t="shared" si="1"/>
        <v>3.6473316344115339</v>
      </c>
    </row>
    <row r="44" spans="3:9">
      <c r="C44" s="446" t="s">
        <v>327</v>
      </c>
      <c r="D44" s="444">
        <v>1.1294900000000001</v>
      </c>
      <c r="E44" s="444">
        <v>581.90317000000005</v>
      </c>
      <c r="F44" s="444">
        <v>180.09420662785899</v>
      </c>
      <c r="G44" s="445">
        <f t="shared" si="0"/>
        <v>3.6495000244034985</v>
      </c>
      <c r="H44" t="str">
        <f>VLOOKUP(C44,'11.Region'!$B$22:$E$243,4,FALSE)</f>
        <v>Africa</v>
      </c>
      <c r="I44" s="436">
        <f t="shared" si="1"/>
        <v>3.6495000244034985</v>
      </c>
    </row>
    <row r="45" spans="3:9">
      <c r="C45" s="446" t="s">
        <v>639</v>
      </c>
      <c r="D45" s="444">
        <v>1.1294900000000001</v>
      </c>
      <c r="E45" s="444">
        <v>2.3937200000000001</v>
      </c>
      <c r="F45" s="444">
        <v>0.709070923019958</v>
      </c>
      <c r="G45" s="445">
        <f t="shared" si="0"/>
        <v>3.8129934750178731</v>
      </c>
      <c r="H45" t="str">
        <f>VLOOKUP(C45,'11.Region'!$B$22:$E$243,4,FALSE)</f>
        <v>Africa</v>
      </c>
      <c r="I45" s="436">
        <f t="shared" si="1"/>
        <v>3.8129934750178731</v>
      </c>
    </row>
    <row r="46" spans="3:9">
      <c r="C46" s="446" t="s">
        <v>493</v>
      </c>
      <c r="D46" s="444">
        <v>1.1294900000000001</v>
      </c>
      <c r="E46" s="444">
        <v>3082.79126</v>
      </c>
      <c r="F46" s="444">
        <v>901.18587759625495</v>
      </c>
      <c r="G46" s="445">
        <f t="shared" si="0"/>
        <v>3.8637777031581284</v>
      </c>
      <c r="H46" t="str">
        <f>VLOOKUP(C46,'11.Region'!$B$22:$E$243,4,FALSE)</f>
        <v>Africa</v>
      </c>
      <c r="I46" s="436">
        <f t="shared" si="1"/>
        <v>3.8637777031581284</v>
      </c>
    </row>
    <row r="47" spans="3:9">
      <c r="C47" s="446" t="s">
        <v>393</v>
      </c>
      <c r="D47" s="444">
        <v>1.1294900000000001</v>
      </c>
      <c r="E47" s="444">
        <v>44.954569999999997</v>
      </c>
      <c r="F47" s="444">
        <v>13.129927059964301</v>
      </c>
      <c r="G47" s="445">
        <f t="shared" si="0"/>
        <v>3.8671758828063174</v>
      </c>
      <c r="H47" t="str">
        <f>VLOOKUP(C47,'11.Region'!$B$22:$E$243,4,FALSE)</f>
        <v>Africa</v>
      </c>
      <c r="I47" s="436">
        <f t="shared" si="1"/>
        <v>3.8671758828063174</v>
      </c>
    </row>
    <row r="48" spans="3:9">
      <c r="C48" s="446" t="s">
        <v>517</v>
      </c>
      <c r="D48" s="444">
        <v>1.1294900000000001</v>
      </c>
      <c r="E48" s="444">
        <v>354.70191</v>
      </c>
      <c r="F48" s="444">
        <v>102.914772361353</v>
      </c>
      <c r="G48" s="445">
        <f t="shared" si="0"/>
        <v>3.8928547489684506</v>
      </c>
      <c r="H48" t="str">
        <f>VLOOKUP(C48,'11.Region'!$B$22:$E$243,4,FALSE)</f>
        <v>Africa</v>
      </c>
      <c r="I48" s="436">
        <f t="shared" si="1"/>
        <v>3.8928547489684506</v>
      </c>
    </row>
    <row r="49" spans="3:12">
      <c r="C49" s="446" t="s">
        <v>521</v>
      </c>
      <c r="D49" s="444">
        <v>1.1294900000000001</v>
      </c>
      <c r="E49" s="444">
        <v>718.93710999999996</v>
      </c>
      <c r="F49" s="444">
        <v>205.61176356902601</v>
      </c>
      <c r="G49" s="445">
        <f t="shared" si="0"/>
        <v>3.9493473635874552</v>
      </c>
      <c r="H49" t="str">
        <f>VLOOKUP(C49,'11.Region'!$B$22:$E$243,4,FALSE)</f>
        <v>Africa</v>
      </c>
      <c r="I49" s="436">
        <f t="shared" si="1"/>
        <v>3.9493473635874552</v>
      </c>
    </row>
    <row r="50" spans="3:12">
      <c r="C50" s="446" t="s">
        <v>357</v>
      </c>
      <c r="D50" s="444">
        <v>1.1294900000000001</v>
      </c>
      <c r="E50" s="444">
        <v>110.44233</v>
      </c>
      <c r="F50" s="444">
        <v>29.955727756633902</v>
      </c>
      <c r="G50" s="445">
        <f t="shared" si="0"/>
        <v>4.1642622848338151</v>
      </c>
      <c r="H50" t="str">
        <f>VLOOKUP(C50,'11.Region'!$B$22:$E$243,4,FALSE)</f>
        <v>Africa</v>
      </c>
      <c r="I50" s="436">
        <f t="shared" si="1"/>
        <v>4.1642622848338151</v>
      </c>
    </row>
    <row r="51" spans="3:12">
      <c r="C51" s="446" t="s">
        <v>361</v>
      </c>
      <c r="D51" s="444">
        <v>1.1294900000000001</v>
      </c>
      <c r="E51" s="444">
        <v>17.813800000000001</v>
      </c>
      <c r="F51" s="444">
        <v>3.0710178420623602</v>
      </c>
      <c r="G51" s="445">
        <f t="shared" si="0"/>
        <v>6.5517395198485584</v>
      </c>
      <c r="H51" t="str">
        <f>VLOOKUP(C51,'11.Region'!$B$22:$E$243,4,FALSE)</f>
        <v>Africa</v>
      </c>
      <c r="I51" s="436">
        <f t="shared" si="1"/>
        <v>6.5517395198485584</v>
      </c>
    </row>
    <row r="52" spans="3:12">
      <c r="C52" s="446" t="s">
        <v>465</v>
      </c>
      <c r="D52" s="444">
        <v>1.1294900000000001</v>
      </c>
      <c r="E52" s="440">
        <v>102.73307</v>
      </c>
      <c r="F52" s="440">
        <v>0.55182054197377495</v>
      </c>
      <c r="G52" s="445">
        <f t="shared" si="0"/>
        <v>210.27846266697077</v>
      </c>
      <c r="H52" t="str">
        <f>VLOOKUP(C52,'11.Region'!$B$22:$E$243,4,FALSE)</f>
        <v>Africa</v>
      </c>
      <c r="I52" s="436">
        <f>$K$3</f>
        <v>3.0325616327831186</v>
      </c>
      <c r="J52" t="s">
        <v>244</v>
      </c>
    </row>
    <row r="53" spans="3:12">
      <c r="C53" s="446" t="s">
        <v>349</v>
      </c>
      <c r="D53" s="444">
        <v>1.1294900000000001</v>
      </c>
      <c r="E53" s="444">
        <v>177.71958000000001</v>
      </c>
      <c r="G53" s="445" t="e">
        <f t="shared" si="0"/>
        <v>#DIV/0!</v>
      </c>
      <c r="H53" t="str">
        <f>VLOOKUP(C53,'11.Region'!$B$22:$E$243,4,FALSE)</f>
        <v>Africa</v>
      </c>
      <c r="I53" s="436">
        <f>$K$3</f>
        <v>3.0325616327831186</v>
      </c>
      <c r="J53" t="s">
        <v>244</v>
      </c>
    </row>
    <row r="54" spans="3:12">
      <c r="C54" s="446" t="s">
        <v>363</v>
      </c>
      <c r="D54" s="444">
        <v>1.1294900000000001</v>
      </c>
      <c r="G54" s="445" t="e">
        <f t="shared" si="0"/>
        <v>#DIV/0!</v>
      </c>
      <c r="H54" t="str">
        <f>VLOOKUP(C54,'11.Region'!$B$22:$E$243,4,FALSE)</f>
        <v>Africa</v>
      </c>
      <c r="I54" s="436">
        <f>$K$3</f>
        <v>3.0325616327831186</v>
      </c>
      <c r="J54" t="s">
        <v>244</v>
      </c>
    </row>
    <row r="55" spans="3:12">
      <c r="C55" s="446" t="s">
        <v>597</v>
      </c>
      <c r="D55" s="444">
        <v>1.1294900000000001</v>
      </c>
      <c r="E55" s="444">
        <v>545.65567999999996</v>
      </c>
      <c r="G55" s="445" t="e">
        <f t="shared" si="0"/>
        <v>#DIV/0!</v>
      </c>
      <c r="H55" t="str">
        <f>VLOOKUP(C55,'11.Region'!$B$22:$E$243,4,FALSE)</f>
        <v>Africa</v>
      </c>
      <c r="I55" s="436">
        <f>$K$3</f>
        <v>3.0325616327831186</v>
      </c>
      <c r="J55" t="s">
        <v>244</v>
      </c>
    </row>
    <row r="56" spans="3:12">
      <c r="C56" s="446" t="s">
        <v>601</v>
      </c>
      <c r="D56" s="444">
        <v>1.1294900000000001</v>
      </c>
      <c r="F56" s="444">
        <v>0</v>
      </c>
      <c r="G56" s="445" t="e">
        <f t="shared" si="0"/>
        <v>#DIV/0!</v>
      </c>
      <c r="H56" t="str">
        <f>VLOOKUP(C56,'11.Region'!$B$22:$E$243,4,FALSE)</f>
        <v>Africa</v>
      </c>
      <c r="I56" s="436">
        <f>$K$3</f>
        <v>3.0325616327831186</v>
      </c>
      <c r="J56" t="s">
        <v>244</v>
      </c>
    </row>
    <row r="57" spans="3:12">
      <c r="C57" s="446" t="s">
        <v>289</v>
      </c>
      <c r="D57" s="444">
        <v>1.1294900000000001</v>
      </c>
      <c r="E57" s="444">
        <v>1</v>
      </c>
      <c r="F57" s="444">
        <v>1.01090506442159</v>
      </c>
      <c r="G57" s="445">
        <f t="shared" si="0"/>
        <v>1.117305709261889</v>
      </c>
      <c r="H57" t="str">
        <f>VLOOKUP(C57,'11.Region'!$B$22:$E$243,4,FALSE)</f>
        <v>Americas</v>
      </c>
      <c r="I57" s="436">
        <f>G57</f>
        <v>1.117305709261889</v>
      </c>
      <c r="K57" s="435">
        <f>AVERAGE(G57:G89)</f>
        <v>1.9628994497935313</v>
      </c>
      <c r="L57" s="433" t="s">
        <v>245</v>
      </c>
    </row>
    <row r="58" spans="3:12">
      <c r="C58" s="446" t="s">
        <v>653</v>
      </c>
      <c r="D58" s="444">
        <v>1.1294900000000001</v>
      </c>
      <c r="E58" s="444">
        <v>1</v>
      </c>
      <c r="F58" s="444">
        <v>1</v>
      </c>
      <c r="G58" s="445">
        <f t="shared" si="0"/>
        <v>1.1294900000000001</v>
      </c>
      <c r="H58" t="str">
        <f>VLOOKUP(C58,'11.Region'!$B$22:$E$243,4,FALSE)</f>
        <v>Americas</v>
      </c>
      <c r="I58" s="436">
        <f t="shared" ref="I58:I89" si="2">G58</f>
        <v>1.1294900000000001</v>
      </c>
    </row>
    <row r="59" spans="3:12">
      <c r="C59" s="446" t="s">
        <v>313</v>
      </c>
      <c r="D59" s="444">
        <v>1.1294900000000001</v>
      </c>
      <c r="E59" s="443">
        <v>1.298</v>
      </c>
      <c r="F59" s="444">
        <v>1.260086</v>
      </c>
      <c r="G59" s="445">
        <f t="shared" si="0"/>
        <v>1.1634745723704574</v>
      </c>
      <c r="H59" t="str">
        <f>VLOOKUP(C59,'11.Region'!$B$22:$E$243,4,FALSE)</f>
        <v>Americas</v>
      </c>
      <c r="I59" s="436">
        <f t="shared" si="2"/>
        <v>1.1634745723704574</v>
      </c>
    </row>
    <row r="60" spans="3:12">
      <c r="C60" s="446" t="s">
        <v>303</v>
      </c>
      <c r="D60" s="444">
        <v>1.1294900000000001</v>
      </c>
      <c r="E60" s="444">
        <v>2</v>
      </c>
      <c r="F60" s="444">
        <v>1.8014139203822801</v>
      </c>
      <c r="G60" s="445">
        <f t="shared" si="0"/>
        <v>1.2540038546613537</v>
      </c>
      <c r="H60" t="str">
        <f>VLOOKUP(C60,'11.Region'!$B$22:$E$243,4,FALSE)</f>
        <v>Americas</v>
      </c>
      <c r="I60" s="436">
        <f t="shared" si="2"/>
        <v>1.2540038546613537</v>
      </c>
    </row>
    <row r="61" spans="3:12">
      <c r="C61" s="446" t="s">
        <v>651</v>
      </c>
      <c r="D61" s="444">
        <v>1.1294900000000001</v>
      </c>
      <c r="E61" s="444">
        <v>28.2364</v>
      </c>
      <c r="F61" s="444">
        <v>21.759382262689901</v>
      </c>
      <c r="G61" s="445">
        <f t="shared" si="0"/>
        <v>1.4657002230566731</v>
      </c>
      <c r="H61" t="str">
        <f>VLOOKUP(C61,'11.Region'!$B$22:$E$243,4,FALSE)</f>
        <v>Americas</v>
      </c>
      <c r="I61" s="436">
        <f t="shared" si="2"/>
        <v>1.4657002230566731</v>
      </c>
    </row>
    <row r="62" spans="3:12">
      <c r="C62" s="446" t="s">
        <v>351</v>
      </c>
      <c r="D62" s="444">
        <v>1.1294900000000001</v>
      </c>
      <c r="E62" s="444">
        <v>2.7</v>
      </c>
      <c r="F62" s="444">
        <v>1.93465653722583</v>
      </c>
      <c r="G62" s="445">
        <f t="shared" si="0"/>
        <v>1.5763123538056831</v>
      </c>
      <c r="H62" t="str">
        <f>VLOOKUP(C62,'11.Region'!$B$22:$E$243,4,FALSE)</f>
        <v>Americas</v>
      </c>
      <c r="I62" s="436">
        <f t="shared" si="2"/>
        <v>1.5763123538056831</v>
      </c>
    </row>
    <row r="63" spans="3:12">
      <c r="C63" s="446" t="s">
        <v>335</v>
      </c>
      <c r="D63" s="444">
        <v>1.1294900000000001</v>
      </c>
      <c r="E63" s="444">
        <v>553.84983</v>
      </c>
      <c r="F63" s="444">
        <v>390.705340687035</v>
      </c>
      <c r="G63" s="445">
        <f t="shared" si="0"/>
        <v>1.6011243751791864</v>
      </c>
      <c r="H63" t="str">
        <f>VLOOKUP(C63,'11.Region'!$B$22:$E$243,4,FALSE)</f>
        <v>Americas</v>
      </c>
      <c r="I63" s="436">
        <f t="shared" si="2"/>
        <v>1.6011243751791864</v>
      </c>
    </row>
    <row r="64" spans="3:12">
      <c r="C64" s="446" t="s">
        <v>401</v>
      </c>
      <c r="D64" s="444">
        <v>1.1294900000000001</v>
      </c>
      <c r="E64" s="444">
        <v>2.7</v>
      </c>
      <c r="F64" s="444">
        <v>1.8772193529230501</v>
      </c>
      <c r="G64" s="445">
        <f t="shared" si="0"/>
        <v>1.6245427020829402</v>
      </c>
      <c r="H64" t="str">
        <f>VLOOKUP(C64,'11.Region'!$B$22:$E$243,4,FALSE)</f>
        <v>Americas</v>
      </c>
      <c r="I64" s="436">
        <f t="shared" si="2"/>
        <v>1.6245427020829402</v>
      </c>
    </row>
    <row r="65" spans="3:9">
      <c r="C65" s="446" t="s">
        <v>260</v>
      </c>
      <c r="D65" s="444">
        <v>1.1294900000000001</v>
      </c>
      <c r="E65" s="442">
        <v>16.5321</v>
      </c>
      <c r="F65" s="444">
        <v>11.473535519166401</v>
      </c>
      <c r="G65" s="445">
        <f t="shared" si="0"/>
        <v>1.6274705907178522</v>
      </c>
      <c r="H65" t="str">
        <f>VLOOKUP(C65,'11.Region'!$B$22:$E$243,4,FALSE)</f>
        <v>Americas</v>
      </c>
      <c r="I65" s="436">
        <f t="shared" si="2"/>
        <v>1.6274705907178522</v>
      </c>
    </row>
    <row r="66" spans="3:9">
      <c r="C66" s="446" t="s">
        <v>469</v>
      </c>
      <c r="D66" s="444">
        <v>1.1294900000000001</v>
      </c>
      <c r="E66" s="444">
        <v>2.7</v>
      </c>
      <c r="F66" s="444">
        <v>1.81800302884694</v>
      </c>
      <c r="G66" s="445">
        <f t="shared" si="0"/>
        <v>1.6774576013408569</v>
      </c>
      <c r="H66" t="str">
        <f>VLOOKUP(C66,'11.Region'!$B$22:$E$243,4,FALSE)</f>
        <v>Americas</v>
      </c>
      <c r="I66" s="436">
        <f t="shared" si="2"/>
        <v>1.6774576013408569</v>
      </c>
    </row>
    <row r="67" spans="3:9">
      <c r="C67" s="446" t="s">
        <v>317</v>
      </c>
      <c r="D67" s="444">
        <v>1.1294900000000001</v>
      </c>
      <c r="E67" s="444">
        <v>645.82664</v>
      </c>
      <c r="F67" s="444">
        <v>413.42360600000001</v>
      </c>
      <c r="G67" s="445">
        <f t="shared" ref="G67:G130" si="3">D67*E67/F67</f>
        <v>1.7644244813964496</v>
      </c>
      <c r="H67" t="str">
        <f>VLOOKUP(C67,'11.Region'!$B$22:$E$243,4,FALSE)</f>
        <v>Americas</v>
      </c>
      <c r="I67" s="436">
        <f t="shared" si="2"/>
        <v>1.7644244813964496</v>
      </c>
    </row>
    <row r="68" spans="3:9">
      <c r="C68" s="446" t="s">
        <v>267</v>
      </c>
      <c r="D68" s="444">
        <v>1.1294900000000001</v>
      </c>
      <c r="E68" s="444">
        <v>2.7</v>
      </c>
      <c r="F68" s="444">
        <v>1.7190306246393501</v>
      </c>
      <c r="G68" s="445">
        <f t="shared" si="3"/>
        <v>1.7740364576924315</v>
      </c>
      <c r="H68" t="str">
        <f>VLOOKUP(C68,'11.Region'!$B$22:$E$243,4,FALSE)</f>
        <v>Americas</v>
      </c>
      <c r="I68" s="436">
        <f t="shared" si="2"/>
        <v>1.7740364576924315</v>
      </c>
    </row>
    <row r="69" spans="3:9">
      <c r="C69" s="446" t="s">
        <v>301</v>
      </c>
      <c r="D69" s="444">
        <v>1.1294900000000001</v>
      </c>
      <c r="E69" s="444">
        <v>3.1907199999999998</v>
      </c>
      <c r="F69" s="444">
        <v>2.0243457768318098</v>
      </c>
      <c r="G69" s="445">
        <f t="shared" si="3"/>
        <v>1.7802721126230918</v>
      </c>
      <c r="H69" t="str">
        <f>VLOOKUP(C69,'11.Region'!$B$22:$E$243,4,FALSE)</f>
        <v>Americas</v>
      </c>
      <c r="I69" s="436">
        <f t="shared" si="2"/>
        <v>1.7802721126230918</v>
      </c>
    </row>
    <row r="70" spans="3:9">
      <c r="C70" s="446" t="s">
        <v>455</v>
      </c>
      <c r="D70" s="444">
        <v>1.1294900000000001</v>
      </c>
      <c r="E70" s="444">
        <v>2.7</v>
      </c>
      <c r="F70" s="444">
        <v>1.70478903847639</v>
      </c>
      <c r="G70" s="445">
        <f t="shared" si="3"/>
        <v>1.7888565277997799</v>
      </c>
      <c r="H70" t="str">
        <f>VLOOKUP(C70,'11.Region'!$B$22:$E$243,4,FALSE)</f>
        <v>Americas</v>
      </c>
      <c r="I70" s="436">
        <f t="shared" si="2"/>
        <v>1.7888565277997799</v>
      </c>
    </row>
    <row r="71" spans="3:9">
      <c r="C71" s="446" t="s">
        <v>549</v>
      </c>
      <c r="D71" s="444">
        <v>1.1294900000000001</v>
      </c>
      <c r="E71" s="444">
        <v>1</v>
      </c>
      <c r="F71" s="444">
        <v>0.61718478439930402</v>
      </c>
      <c r="G71" s="445">
        <f t="shared" si="3"/>
        <v>1.8300677990616934</v>
      </c>
      <c r="H71" t="str">
        <f>VLOOKUP(C71,'11.Region'!$B$22:$E$243,4,FALSE)</f>
        <v>Americas</v>
      </c>
      <c r="I71" s="436">
        <f t="shared" si="2"/>
        <v>1.8300677990616934</v>
      </c>
    </row>
    <row r="72" spans="3:9">
      <c r="C72" s="446" t="s">
        <v>657</v>
      </c>
      <c r="D72" s="444">
        <v>1.1294900000000001</v>
      </c>
      <c r="E72" s="444">
        <v>2.7</v>
      </c>
      <c r="F72" s="444">
        <v>1.6472984713788901</v>
      </c>
      <c r="G72" s="445">
        <f t="shared" si="3"/>
        <v>1.8512874582147087</v>
      </c>
      <c r="H72" t="str">
        <f>VLOOKUP(C72,'11.Region'!$B$22:$E$243,4,FALSE)</f>
        <v>Americas</v>
      </c>
      <c r="I72" s="436">
        <f t="shared" si="2"/>
        <v>1.8512874582147087</v>
      </c>
    </row>
    <row r="73" spans="3:9">
      <c r="C73" s="446" t="s">
        <v>409</v>
      </c>
      <c r="D73" s="444">
        <v>1.1294900000000001</v>
      </c>
      <c r="E73" s="444">
        <v>198.80174</v>
      </c>
      <c r="F73" s="444">
        <v>119.542572517499</v>
      </c>
      <c r="G73" s="445">
        <f t="shared" si="3"/>
        <v>1.8783649421609236</v>
      </c>
      <c r="H73" t="str">
        <f>VLOOKUP(C73,'11.Region'!$B$22:$E$243,4,FALSE)</f>
        <v>Americas</v>
      </c>
      <c r="I73" s="436">
        <f t="shared" si="2"/>
        <v>1.8783649421609236</v>
      </c>
    </row>
    <row r="74" spans="3:9">
      <c r="C74" s="446" t="s">
        <v>439</v>
      </c>
      <c r="D74" s="444">
        <v>1.1294900000000001</v>
      </c>
      <c r="E74" s="444">
        <v>126.88545999999999</v>
      </c>
      <c r="F74" s="444">
        <v>72.686591923783595</v>
      </c>
      <c r="G74" s="445">
        <f t="shared" si="3"/>
        <v>1.971695940369244</v>
      </c>
      <c r="H74" t="str">
        <f>VLOOKUP(C74,'11.Region'!$B$22:$E$243,4,FALSE)</f>
        <v>Americas</v>
      </c>
      <c r="I74" s="436">
        <f t="shared" si="2"/>
        <v>1.971695940369244</v>
      </c>
    </row>
    <row r="75" spans="3:9">
      <c r="C75" s="446" t="s">
        <v>295</v>
      </c>
      <c r="D75" s="444">
        <v>1.1294900000000001</v>
      </c>
      <c r="E75" s="444">
        <v>2</v>
      </c>
      <c r="F75" s="444">
        <v>1.14214172621669</v>
      </c>
      <c r="G75" s="445">
        <f t="shared" si="3"/>
        <v>1.9778456107043767</v>
      </c>
      <c r="H75" t="str">
        <f>VLOOKUP(C75,'11.Region'!$B$22:$E$243,4,FALSE)</f>
        <v>Americas</v>
      </c>
      <c r="I75" s="436">
        <f t="shared" si="2"/>
        <v>1.9778456107043767</v>
      </c>
    </row>
    <row r="76" spans="3:9">
      <c r="C76" s="446" t="s">
        <v>405</v>
      </c>
      <c r="D76" s="444">
        <v>1.1294900000000001</v>
      </c>
      <c r="E76" s="444">
        <v>7.18309</v>
      </c>
      <c r="F76" s="444">
        <v>4.0308377143937504</v>
      </c>
      <c r="G76" s="445">
        <f t="shared" si="3"/>
        <v>2.0127896231417131</v>
      </c>
      <c r="H76" t="str">
        <f>VLOOKUP(C76,'11.Region'!$B$22:$E$243,4,FALSE)</f>
        <v>Americas</v>
      </c>
      <c r="I76" s="436">
        <f t="shared" si="2"/>
        <v>2.0127896231417131</v>
      </c>
    </row>
    <row r="77" spans="3:9">
      <c r="C77" s="446" t="s">
        <v>359</v>
      </c>
      <c r="D77" s="444">
        <v>1.1294900000000001</v>
      </c>
      <c r="E77" s="444">
        <v>1</v>
      </c>
      <c r="F77" s="444">
        <v>0.53359029793736601</v>
      </c>
      <c r="G77" s="445">
        <f t="shared" si="3"/>
        <v>2.1167738700762175</v>
      </c>
      <c r="H77" t="str">
        <f>VLOOKUP(C77,'11.Region'!$B$22:$E$243,4,FALSE)</f>
        <v>Americas</v>
      </c>
      <c r="I77" s="436">
        <f t="shared" si="2"/>
        <v>2.1167738700762175</v>
      </c>
    </row>
    <row r="78" spans="3:9">
      <c r="C78" s="446" t="s">
        <v>637</v>
      </c>
      <c r="D78" s="444">
        <v>1.1294900000000001</v>
      </c>
      <c r="E78" s="444">
        <v>6.6286399999999999</v>
      </c>
      <c r="F78" s="444">
        <v>3.4622162270099399</v>
      </c>
      <c r="G78" s="445">
        <f t="shared" si="3"/>
        <v>2.1624826708370994</v>
      </c>
      <c r="H78" t="str">
        <f>VLOOKUP(C78,'11.Region'!$B$22:$E$243,4,FALSE)</f>
        <v>Americas</v>
      </c>
      <c r="I78" s="436">
        <f t="shared" si="2"/>
        <v>2.1624826708370994</v>
      </c>
    </row>
    <row r="79" spans="3:9">
      <c r="C79" s="446" t="s">
        <v>413</v>
      </c>
      <c r="D79" s="444">
        <v>1.1294900000000001</v>
      </c>
      <c r="E79" s="444">
        <v>23.124829999999999</v>
      </c>
      <c r="F79" s="444">
        <v>11.6823631907139</v>
      </c>
      <c r="G79" s="445">
        <f t="shared" si="3"/>
        <v>2.2357860143794994</v>
      </c>
      <c r="H79" t="str">
        <f>VLOOKUP(C79,'11.Region'!$B$22:$E$243,4,FALSE)</f>
        <v>Americas</v>
      </c>
      <c r="I79" s="436">
        <f t="shared" si="2"/>
        <v>2.2357860143794994</v>
      </c>
    </row>
    <row r="80" spans="3:9">
      <c r="C80" s="446" t="s">
        <v>551</v>
      </c>
      <c r="D80" s="444">
        <v>1.1294900000000001</v>
      </c>
      <c r="E80" s="444">
        <v>3.2229899999999998</v>
      </c>
      <c r="F80" s="444">
        <v>1.59512337178714</v>
      </c>
      <c r="G80" s="445">
        <f t="shared" si="3"/>
        <v>2.2821651537971333</v>
      </c>
      <c r="H80" t="str">
        <f>VLOOKUP(C80,'11.Region'!$B$22:$E$243,4,FALSE)</f>
        <v>Americas</v>
      </c>
      <c r="I80" s="436">
        <f t="shared" si="2"/>
        <v>2.2821651537971333</v>
      </c>
    </row>
    <row r="81" spans="3:10">
      <c r="C81" s="446" t="s">
        <v>497</v>
      </c>
      <c r="D81" s="444">
        <v>1.1294900000000001</v>
      </c>
      <c r="E81" s="444">
        <v>18.90363</v>
      </c>
      <c r="F81" s="444">
        <v>9.2854510000000001</v>
      </c>
      <c r="G81" s="445">
        <f t="shared" si="3"/>
        <v>2.2994533112823494</v>
      </c>
      <c r="H81" t="str">
        <f>VLOOKUP(C81,'11.Region'!$B$22:$E$243,4,FALSE)</f>
        <v>Americas</v>
      </c>
      <c r="I81" s="436">
        <f t="shared" si="2"/>
        <v>2.2994533112823494</v>
      </c>
    </row>
    <row r="82" spans="3:10">
      <c r="C82" s="446" t="s">
        <v>593</v>
      </c>
      <c r="D82" s="444">
        <v>1.1294900000000001</v>
      </c>
      <c r="E82" s="438">
        <v>1</v>
      </c>
      <c r="F82" s="438">
        <v>0.485795653310238</v>
      </c>
      <c r="G82" s="445">
        <f t="shared" si="3"/>
        <v>2.3250310954896238</v>
      </c>
      <c r="H82" t="str">
        <f>VLOOKUP(C82,'11.Region'!$B$22:$E$243,4,FALSE)</f>
        <v>Americas</v>
      </c>
      <c r="I82" s="436">
        <f t="shared" si="2"/>
        <v>2.3250310954896238</v>
      </c>
    </row>
    <row r="83" spans="3:10">
      <c r="C83" s="446" t="s">
        <v>299</v>
      </c>
      <c r="D83" s="444">
        <v>1.1294900000000001</v>
      </c>
      <c r="E83" s="444">
        <v>6.7774900000000002</v>
      </c>
      <c r="F83" s="444">
        <v>3.1022954198650998</v>
      </c>
      <c r="G83" s="445">
        <f t="shared" si="3"/>
        <v>2.4675622866480187</v>
      </c>
      <c r="H83" t="str">
        <f>VLOOKUP(C83,'11.Region'!$B$22:$E$243,4,FALSE)</f>
        <v>Americas</v>
      </c>
      <c r="I83" s="436">
        <f t="shared" si="2"/>
        <v>2.4675622866480187</v>
      </c>
    </row>
    <row r="84" spans="3:10">
      <c r="C84" s="446" t="s">
        <v>567</v>
      </c>
      <c r="D84" s="444">
        <v>1.1294900000000001</v>
      </c>
      <c r="E84" s="444">
        <v>5513.8901599999999</v>
      </c>
      <c r="F84" s="444">
        <v>2505.7090131397499</v>
      </c>
      <c r="G84" s="445">
        <f t="shared" si="3"/>
        <v>2.485477668859331</v>
      </c>
      <c r="H84" t="str">
        <f>VLOOKUP(C84,'11.Region'!$B$22:$E$243,4,FALSE)</f>
        <v>Americas</v>
      </c>
      <c r="I84" s="436">
        <f t="shared" si="2"/>
        <v>2.485477668859331</v>
      </c>
    </row>
    <row r="85" spans="3:10">
      <c r="C85" s="446" t="s">
        <v>355</v>
      </c>
      <c r="D85" s="444">
        <v>1.1294900000000001</v>
      </c>
      <c r="E85" s="444">
        <v>46.838909999999998</v>
      </c>
      <c r="F85" s="444">
        <v>20.934745642488799</v>
      </c>
      <c r="G85" s="445">
        <f t="shared" si="3"/>
        <v>2.5270944944526477</v>
      </c>
      <c r="H85" t="str">
        <f>VLOOKUP(C85,'11.Region'!$B$22:$E$243,4,FALSE)</f>
        <v>Americas</v>
      </c>
      <c r="I85" s="436">
        <f t="shared" si="2"/>
        <v>2.5270944944526477</v>
      </c>
    </row>
    <row r="86" spans="3:10">
      <c r="C86" s="446" t="s">
        <v>329</v>
      </c>
      <c r="D86" s="444">
        <v>1.1294900000000001</v>
      </c>
      <c r="E86" s="444">
        <v>2941.8349400000002</v>
      </c>
      <c r="F86" s="444">
        <v>1278.0404018831</v>
      </c>
      <c r="G86" s="445">
        <f t="shared" si="3"/>
        <v>2.5998967962865138</v>
      </c>
      <c r="H86" t="str">
        <f>VLOOKUP(C86,'11.Region'!$B$22:$E$243,4,FALSE)</f>
        <v>Americas</v>
      </c>
      <c r="I86" s="436">
        <f t="shared" si="2"/>
        <v>2.5998967962865138</v>
      </c>
    </row>
    <row r="87" spans="3:10">
      <c r="C87" s="446" t="s">
        <v>417</v>
      </c>
      <c r="D87" s="444">
        <v>1.1294900000000001</v>
      </c>
      <c r="E87" s="444">
        <v>64.112539999999996</v>
      </c>
      <c r="F87" s="444">
        <v>27.692046680367</v>
      </c>
      <c r="G87" s="445">
        <f t="shared" si="3"/>
        <v>2.6149917209239768</v>
      </c>
      <c r="H87" t="str">
        <f>VLOOKUP(C87,'11.Region'!$B$22:$E$243,4,FALSE)</f>
        <v>Americas</v>
      </c>
      <c r="I87" s="436">
        <f t="shared" si="2"/>
        <v>2.6149917209239768</v>
      </c>
    </row>
    <row r="88" spans="3:10">
      <c r="C88" s="446" t="s">
        <v>605</v>
      </c>
      <c r="D88" s="444">
        <v>1.1294900000000001</v>
      </c>
      <c r="E88" s="444">
        <v>7.4244000000000003</v>
      </c>
      <c r="F88" s="444">
        <v>2.9231660338134802</v>
      </c>
      <c r="G88" s="445">
        <f t="shared" si="3"/>
        <v>2.8687339203446278</v>
      </c>
      <c r="H88" t="str">
        <f>VLOOKUP(C88,'11.Region'!$B$22:$E$243,4,FALSE)</f>
        <v>Americas</v>
      </c>
      <c r="I88" s="436">
        <f t="shared" si="2"/>
        <v>2.8687339203446278</v>
      </c>
    </row>
    <row r="89" spans="3:10">
      <c r="C89" s="446" t="s">
        <v>533</v>
      </c>
      <c r="D89" s="444">
        <v>1.1294900000000001</v>
      </c>
      <c r="E89" s="444">
        <v>29.582640000000001</v>
      </c>
      <c r="F89" s="444">
        <v>11.428389665460401</v>
      </c>
      <c r="G89" s="445">
        <f t="shared" si="3"/>
        <v>2.9237099041681942</v>
      </c>
      <c r="H89" t="str">
        <f>VLOOKUP(C89,'11.Region'!$B$22:$E$243,4,FALSE)</f>
        <v>Americas</v>
      </c>
      <c r="I89" s="436">
        <f t="shared" si="2"/>
        <v>2.9237099041681942</v>
      </c>
    </row>
    <row r="90" spans="3:10">
      <c r="C90" s="446" t="s">
        <v>243</v>
      </c>
      <c r="D90" s="444">
        <v>1.1294900000000001</v>
      </c>
      <c r="E90" s="444">
        <v>1.7874099999999999</v>
      </c>
      <c r="G90" s="445" t="e">
        <f t="shared" si="3"/>
        <v>#DIV/0!</v>
      </c>
      <c r="H90" t="str">
        <f>VLOOKUP(C90,'11.Region'!$B$22:$E$243,4,FALSE)</f>
        <v>Americas</v>
      </c>
      <c r="I90" s="436">
        <f>$K$57</f>
        <v>1.9628994497935313</v>
      </c>
      <c r="J90" t="s">
        <v>244</v>
      </c>
    </row>
    <row r="91" spans="3:10">
      <c r="C91" s="446" t="s">
        <v>297</v>
      </c>
      <c r="D91" s="444">
        <v>1.1294900000000001</v>
      </c>
      <c r="E91" s="444">
        <v>1</v>
      </c>
      <c r="G91" s="445" t="e">
        <f t="shared" si="3"/>
        <v>#DIV/0!</v>
      </c>
      <c r="H91" t="str">
        <f>VLOOKUP(C91,'11.Region'!$B$22:$E$243,4,FALSE)</f>
        <v>Americas</v>
      </c>
      <c r="I91" s="436">
        <f t="shared" ref="I91:I102" si="4">$K$57</f>
        <v>1.9628994497935313</v>
      </c>
      <c r="J91" t="s">
        <v>244</v>
      </c>
    </row>
    <row r="92" spans="3:10">
      <c r="C92" s="446" t="s">
        <v>337</v>
      </c>
      <c r="D92" s="444">
        <v>1.1294900000000001</v>
      </c>
      <c r="G92" s="445" t="e">
        <f t="shared" si="3"/>
        <v>#DIV/0!</v>
      </c>
      <c r="H92" t="str">
        <f>VLOOKUP(C92,'11.Region'!$B$22:$E$243,4,FALSE)</f>
        <v>Americas</v>
      </c>
      <c r="I92" s="436">
        <f t="shared" si="4"/>
        <v>1.9628994497935313</v>
      </c>
      <c r="J92" t="s">
        <v>244</v>
      </c>
    </row>
    <row r="93" spans="3:10">
      <c r="C93" s="446" t="s">
        <v>339</v>
      </c>
      <c r="D93" s="444">
        <v>1.1294900000000001</v>
      </c>
      <c r="G93" s="445" t="e">
        <f t="shared" si="3"/>
        <v>#DIV/0!</v>
      </c>
      <c r="H93" t="str">
        <f>VLOOKUP(C93,'11.Region'!$B$22:$E$243,4,FALSE)</f>
        <v>Americas</v>
      </c>
      <c r="I93" s="436">
        <f t="shared" si="4"/>
        <v>1.9628994497935313</v>
      </c>
      <c r="J93" t="s">
        <v>244</v>
      </c>
    </row>
    <row r="94" spans="3:10">
      <c r="C94" s="446" t="s">
        <v>341</v>
      </c>
      <c r="D94" s="444">
        <v>1.1294900000000001</v>
      </c>
      <c r="G94" s="445" t="e">
        <f t="shared" si="3"/>
        <v>#DIV/0!</v>
      </c>
      <c r="H94" t="str">
        <f>VLOOKUP(C94,'11.Region'!$B$22:$E$243,4,FALSE)</f>
        <v>Americas</v>
      </c>
      <c r="I94" s="436">
        <f t="shared" si="4"/>
        <v>1.9628994497935313</v>
      </c>
      <c r="J94" t="s">
        <v>244</v>
      </c>
    </row>
    <row r="95" spans="3:10">
      <c r="C95" s="446" t="s">
        <v>403</v>
      </c>
      <c r="D95" s="444">
        <v>1.1294900000000001</v>
      </c>
      <c r="E95" s="439">
        <v>6.5973600000000001</v>
      </c>
      <c r="G95" s="445" t="e">
        <f t="shared" si="3"/>
        <v>#DIV/0!</v>
      </c>
      <c r="H95" t="str">
        <f>VLOOKUP(C95,'11.Region'!$B$22:$E$243,4,FALSE)</f>
        <v>Americas</v>
      </c>
      <c r="I95" s="436">
        <f t="shared" si="4"/>
        <v>1.9628994497935313</v>
      </c>
      <c r="J95" t="s">
        <v>244</v>
      </c>
    </row>
    <row r="96" spans="3:10">
      <c r="C96" s="446" t="s">
        <v>485</v>
      </c>
      <c r="D96" s="444">
        <v>1.1294900000000001</v>
      </c>
      <c r="G96" s="445" t="e">
        <f t="shared" si="3"/>
        <v>#DIV/0!</v>
      </c>
      <c r="H96" t="str">
        <f>VLOOKUP(C96,'11.Region'!$B$22:$E$243,4,FALSE)</f>
        <v>Americas</v>
      </c>
      <c r="I96" s="436">
        <f t="shared" si="4"/>
        <v>1.9628994497935313</v>
      </c>
      <c r="J96" t="s">
        <v>244</v>
      </c>
    </row>
    <row r="97" spans="3:12">
      <c r="C97" s="446" t="s">
        <v>561</v>
      </c>
      <c r="D97" s="444">
        <v>1.1294900000000001</v>
      </c>
      <c r="G97" s="445" t="e">
        <f t="shared" si="3"/>
        <v>#DIV/0!</v>
      </c>
      <c r="H97" t="str">
        <f>VLOOKUP(C97,'11.Region'!$B$22:$E$243,4,FALSE)</f>
        <v>Americas</v>
      </c>
      <c r="I97" s="436">
        <f t="shared" si="4"/>
        <v>1.9628994497935313</v>
      </c>
      <c r="J97" t="s">
        <v>244</v>
      </c>
    </row>
    <row r="98" spans="3:12">
      <c r="C98" s="446" t="s">
        <v>615</v>
      </c>
      <c r="D98" s="444">
        <v>1.1294900000000001</v>
      </c>
      <c r="G98" s="445" t="e">
        <f t="shared" si="3"/>
        <v>#DIV/0!</v>
      </c>
      <c r="H98" t="str">
        <f>VLOOKUP(C98,'11.Region'!$B$22:$E$243,4,FALSE)</f>
        <v>Americas</v>
      </c>
      <c r="I98" s="436">
        <f t="shared" si="4"/>
        <v>1.9628994497935313</v>
      </c>
      <c r="J98" t="s">
        <v>244</v>
      </c>
    </row>
    <row r="99" spans="3:12">
      <c r="C99" s="446" t="s">
        <v>621</v>
      </c>
      <c r="D99" s="444">
        <v>1.1294900000000001</v>
      </c>
      <c r="G99" s="445" t="e">
        <f t="shared" si="3"/>
        <v>#DIV/0!</v>
      </c>
      <c r="H99" t="str">
        <f>VLOOKUP(C99,'11.Region'!$B$22:$E$243,4,FALSE)</f>
        <v>Americas</v>
      </c>
      <c r="I99" s="436">
        <f t="shared" si="4"/>
        <v>1.9628994497935313</v>
      </c>
      <c r="J99" t="s">
        <v>244</v>
      </c>
    </row>
    <row r="100" spans="3:12">
      <c r="C100" s="446" t="s">
        <v>659</v>
      </c>
      <c r="D100" s="444">
        <v>1.1294900000000001</v>
      </c>
      <c r="G100" s="445" t="e">
        <f t="shared" si="3"/>
        <v>#DIV/0!</v>
      </c>
      <c r="H100" t="str">
        <f>VLOOKUP(C100,'11.Region'!$B$22:$E$243,4,FALSE)</f>
        <v>Americas</v>
      </c>
      <c r="I100" s="436">
        <f t="shared" si="4"/>
        <v>1.9628994497935313</v>
      </c>
      <c r="J100" t="s">
        <v>244</v>
      </c>
    </row>
    <row r="101" spans="3:12">
      <c r="C101" s="446" t="s">
        <v>661</v>
      </c>
      <c r="D101" s="444">
        <v>1.1294900000000001</v>
      </c>
      <c r="G101" s="445" t="e">
        <f t="shared" si="3"/>
        <v>#DIV/0!</v>
      </c>
      <c r="H101" t="str">
        <f>VLOOKUP(C101,'11.Region'!$B$22:$E$243,4,FALSE)</f>
        <v>Americas</v>
      </c>
      <c r="I101" s="436">
        <f t="shared" si="4"/>
        <v>1.9628994497935313</v>
      </c>
      <c r="J101" t="s">
        <v>244</v>
      </c>
    </row>
    <row r="102" spans="3:12">
      <c r="C102" s="446" t="s">
        <v>663</v>
      </c>
      <c r="D102" s="444">
        <v>1.1294900000000001</v>
      </c>
      <c r="G102" s="445" t="e">
        <f t="shared" si="3"/>
        <v>#DIV/0!</v>
      </c>
      <c r="H102" t="str">
        <f>VLOOKUP(C102,'11.Region'!$B$22:$E$243,4,FALSE)</f>
        <v>Americas</v>
      </c>
      <c r="I102" s="436">
        <f t="shared" si="4"/>
        <v>1.9628994497935313</v>
      </c>
      <c r="J102" t="s">
        <v>244</v>
      </c>
    </row>
    <row r="103" spans="3:12">
      <c r="C103" s="446" t="s">
        <v>569</v>
      </c>
      <c r="D103" s="444">
        <v>1.1294900000000001</v>
      </c>
      <c r="F103" s="444">
        <v>2.28021651476943</v>
      </c>
      <c r="G103" s="445">
        <f t="shared" si="3"/>
        <v>0</v>
      </c>
      <c r="H103" t="str">
        <f>VLOOKUP(C103,'11.Region'!$B$22:$E$243,4,FALSE)</f>
        <v>Asia</v>
      </c>
      <c r="I103" s="436">
        <f>$K$103</f>
        <v>3.0027294367224551</v>
      </c>
      <c r="J103" t="s">
        <v>244</v>
      </c>
      <c r="K103" s="435">
        <f>AVERAGE(G104:G149)</f>
        <v>3.0027294367224551</v>
      </c>
      <c r="L103" s="433" t="s">
        <v>248</v>
      </c>
    </row>
    <row r="104" spans="3:12">
      <c r="C104" s="446" t="s">
        <v>435</v>
      </c>
      <c r="D104" s="444">
        <v>1.1294900000000001</v>
      </c>
      <c r="E104" s="444">
        <v>3.5956299999999999</v>
      </c>
      <c r="F104" s="444">
        <v>3.7736239999999999</v>
      </c>
      <c r="G104" s="445">
        <f t="shared" si="3"/>
        <v>1.0762143045253052</v>
      </c>
      <c r="H104" t="str">
        <f>VLOOKUP(C104,'11.Region'!$B$22:$E$243,4,FALSE)</f>
        <v>Asia</v>
      </c>
      <c r="I104" s="436">
        <f>G104</f>
        <v>1.0762143045253052</v>
      </c>
    </row>
    <row r="105" spans="3:12">
      <c r="C105" s="446" t="s">
        <v>443</v>
      </c>
      <c r="D105" s="444">
        <v>1.1294900000000001</v>
      </c>
      <c r="E105" s="444">
        <v>112.14867</v>
      </c>
      <c r="F105" s="444">
        <v>98.239493999999993</v>
      </c>
      <c r="G105" s="445">
        <f t="shared" si="3"/>
        <v>1.289408120101881</v>
      </c>
      <c r="H105" t="str">
        <f>VLOOKUP(C105,'11.Region'!$B$22:$E$243,4,FALSE)</f>
        <v>Asia</v>
      </c>
      <c r="I105" s="436">
        <f t="shared" ref="I105:I149" si="5">G105</f>
        <v>1.289408120101881</v>
      </c>
    </row>
    <row r="106" spans="3:12">
      <c r="C106" s="446" t="s">
        <v>457</v>
      </c>
      <c r="D106" s="444">
        <v>1.1294900000000001</v>
      </c>
      <c r="E106" s="444">
        <v>1128.64633</v>
      </c>
      <c r="F106" s="444">
        <v>878.77373</v>
      </c>
      <c r="G106" s="445">
        <f t="shared" si="3"/>
        <v>1.4506518569594702</v>
      </c>
      <c r="H106" t="str">
        <f>VLOOKUP(C106,'11.Region'!$B$22:$E$243,4,FALSE)</f>
        <v>Asia</v>
      </c>
      <c r="I106" s="436">
        <f t="shared" si="5"/>
        <v>1.4506518569594702</v>
      </c>
    </row>
    <row r="107" spans="3:12">
      <c r="C107" s="446" t="s">
        <v>411</v>
      </c>
      <c r="D107" s="444">
        <v>1.1294900000000001</v>
      </c>
      <c r="E107" s="444">
        <v>7.7920600000000002</v>
      </c>
      <c r="F107" s="444">
        <v>5.8497749528696197</v>
      </c>
      <c r="G107" s="445">
        <f t="shared" si="3"/>
        <v>1.5045115274191232</v>
      </c>
      <c r="H107" t="str">
        <f>VLOOKUP(C107,'11.Region'!$B$22:$E$243,4,FALSE)</f>
        <v>Asia</v>
      </c>
      <c r="I107" s="436">
        <f t="shared" si="5"/>
        <v>1.5045115274191232</v>
      </c>
    </row>
    <row r="108" spans="3:12">
      <c r="C108" s="446" t="s">
        <v>343</v>
      </c>
      <c r="D108" s="444">
        <v>1.1294900000000001</v>
      </c>
      <c r="E108" s="444">
        <f>1/1.12949</f>
        <v>0.88535533736465122</v>
      </c>
      <c r="F108" s="444">
        <v>0.64898604908278901</v>
      </c>
      <c r="G108" s="445">
        <f t="shared" si="3"/>
        <v>1.5408651717757238</v>
      </c>
      <c r="H108" t="str">
        <f>VLOOKUP(C108,'11.Region'!$B$22:$E$243,4,FALSE)</f>
        <v>Asia</v>
      </c>
      <c r="I108" s="436">
        <f t="shared" si="5"/>
        <v>1.5408651717757238</v>
      </c>
    </row>
    <row r="109" spans="3:12">
      <c r="C109" s="446" t="s">
        <v>483</v>
      </c>
      <c r="D109" s="444">
        <v>1.1294900000000001</v>
      </c>
      <c r="E109" s="444">
        <v>7.8552299999999997</v>
      </c>
      <c r="F109" s="444">
        <v>5.6395797814874697</v>
      </c>
      <c r="G109" s="445">
        <f t="shared" si="3"/>
        <v>1.5732384462091706</v>
      </c>
      <c r="H109" t="str">
        <f>VLOOKUP(C109,'11.Region'!$B$22:$E$243,4,FALSE)</f>
        <v>Asia</v>
      </c>
      <c r="I109" s="436">
        <f t="shared" si="5"/>
        <v>1.5732384462091706</v>
      </c>
    </row>
    <row r="110" spans="3:12">
      <c r="C110" s="446" t="s">
        <v>495</v>
      </c>
      <c r="D110" s="444">
        <v>1.1294900000000001</v>
      </c>
      <c r="E110" s="444">
        <v>15.22988</v>
      </c>
      <c r="F110" s="444">
        <v>9.7124280794573394</v>
      </c>
      <c r="G110" s="445">
        <f t="shared" si="3"/>
        <v>1.7711325139780212</v>
      </c>
      <c r="H110" t="str">
        <f>VLOOKUP(C110,'11.Region'!$B$22:$E$243,4,FALSE)</f>
        <v>Asia</v>
      </c>
      <c r="I110" s="436">
        <f t="shared" si="5"/>
        <v>1.7711325139780212</v>
      </c>
    </row>
    <row r="111" spans="3:12">
      <c r="C111" s="446" t="s">
        <v>587</v>
      </c>
      <c r="D111" s="444">
        <v>1.1294900000000001</v>
      </c>
      <c r="E111" s="444">
        <v>1.38069</v>
      </c>
      <c r="F111" s="444">
        <v>0.84870147734258605</v>
      </c>
      <c r="G111" s="445">
        <f t="shared" si="3"/>
        <v>1.8374841917124456</v>
      </c>
      <c r="H111" t="str">
        <f>VLOOKUP(C111,'11.Region'!$B$22:$E$243,4,FALSE)</f>
        <v>Asia</v>
      </c>
      <c r="I111" s="436">
        <f t="shared" si="5"/>
        <v>1.8374841917124456</v>
      </c>
    </row>
    <row r="112" spans="3:12">
      <c r="C112" s="446" t="s">
        <v>463</v>
      </c>
      <c r="D112" s="444">
        <v>1.1294900000000001</v>
      </c>
      <c r="E112" s="438">
        <v>1485.82845</v>
      </c>
      <c r="F112" s="438">
        <v>875.56989920604201</v>
      </c>
      <c r="G112" s="445">
        <f t="shared" si="3"/>
        <v>1.9167268969756734</v>
      </c>
      <c r="H112" t="str">
        <f>VLOOKUP(C112,'11.Region'!$B$22:$E$243,4,FALSE)</f>
        <v>Asia</v>
      </c>
      <c r="I112" s="436">
        <f t="shared" si="5"/>
        <v>1.9167268969756734</v>
      </c>
    </row>
    <row r="113" spans="3:9">
      <c r="C113" s="446" t="s">
        <v>258</v>
      </c>
      <c r="D113" s="444">
        <v>1.1294900000000001</v>
      </c>
      <c r="E113" s="444">
        <v>3.6721499999999998</v>
      </c>
      <c r="F113" s="444">
        <v>2.0231405565280101</v>
      </c>
      <c r="G113" s="445">
        <f t="shared" si="3"/>
        <v>2.0501080313559403</v>
      </c>
      <c r="H113" t="str">
        <f>VLOOKUP(C113,'11.Region'!$B$22:$E$243,4,FALSE)</f>
        <v>Asia</v>
      </c>
      <c r="I113" s="436">
        <f t="shared" si="5"/>
        <v>2.0501080313559403</v>
      </c>
    </row>
    <row r="114" spans="3:9">
      <c r="C114" s="446" t="s">
        <v>319</v>
      </c>
      <c r="D114" s="444">
        <v>1.1294900000000001</v>
      </c>
      <c r="E114" s="444">
        <v>6.7582100000000001</v>
      </c>
      <c r="F114" s="444">
        <v>3.5497592688073101</v>
      </c>
      <c r="G114" s="445">
        <f t="shared" si="3"/>
        <v>2.1503797961670617</v>
      </c>
      <c r="H114" t="str">
        <f>VLOOKUP(C114,'11.Region'!$B$22:$E$243,4,FALSE)</f>
        <v>Asia</v>
      </c>
      <c r="I114" s="436">
        <f t="shared" si="5"/>
        <v>2.1503797961670617</v>
      </c>
    </row>
    <row r="115" spans="3:9">
      <c r="C115" s="446" t="s">
        <v>287</v>
      </c>
      <c r="D115" s="444">
        <v>1.1294900000000001</v>
      </c>
      <c r="E115" s="444">
        <v>0.37404999999999999</v>
      </c>
      <c r="F115" s="444">
        <v>0.18714228331905999</v>
      </c>
      <c r="G115" s="445">
        <f t="shared" si="3"/>
        <v>2.2575642821440924</v>
      </c>
      <c r="H115" t="str">
        <f>VLOOKUP(C115,'11.Region'!$B$22:$E$243,4,FALSE)</f>
        <v>Asia</v>
      </c>
      <c r="I115" s="436">
        <f t="shared" si="5"/>
        <v>2.2575642821440924</v>
      </c>
    </row>
    <row r="116" spans="3:9">
      <c r="C116" s="446" t="s">
        <v>573</v>
      </c>
      <c r="D116" s="444">
        <v>1.1294900000000001</v>
      </c>
      <c r="E116" s="444">
        <v>3.6274899999999999</v>
      </c>
      <c r="F116" s="444">
        <v>1.80062463601717</v>
      </c>
      <c r="G116" s="445">
        <f t="shared" si="3"/>
        <v>2.2754401989982163</v>
      </c>
      <c r="H116" t="str">
        <f>VLOOKUP(C116,'11.Region'!$B$22:$E$243,4,FALSE)</f>
        <v>Asia</v>
      </c>
      <c r="I116" s="436">
        <f t="shared" si="5"/>
        <v>2.2754401989982163</v>
      </c>
    </row>
    <row r="117" spans="3:9">
      <c r="C117" s="446" t="s">
        <v>441</v>
      </c>
      <c r="D117" s="444">
        <v>1.1294900000000001</v>
      </c>
      <c r="E117" s="444">
        <v>0.70691000000000004</v>
      </c>
      <c r="F117" s="444">
        <v>0.32033331089147099</v>
      </c>
      <c r="G117" s="445">
        <f t="shared" si="3"/>
        <v>2.4925530650495307</v>
      </c>
      <c r="H117" t="str">
        <f>VLOOKUP(C117,'11.Region'!$B$22:$E$243,4,FALSE)</f>
        <v>Asia</v>
      </c>
      <c r="I117" s="436">
        <f t="shared" si="5"/>
        <v>2.4925530650495307</v>
      </c>
    </row>
    <row r="118" spans="3:9">
      <c r="C118" s="446" t="s">
        <v>262</v>
      </c>
      <c r="D118" s="444">
        <v>1.1294900000000001</v>
      </c>
      <c r="E118" s="444">
        <v>466.05248</v>
      </c>
      <c r="F118" s="444">
        <v>196.97951259922999</v>
      </c>
      <c r="G118" s="445">
        <f t="shared" si="3"/>
        <v>2.6723673375423806</v>
      </c>
      <c r="H118" t="str">
        <f>VLOOKUP(C118,'11.Region'!$B$22:$E$243,4,FALSE)</f>
        <v>Asia</v>
      </c>
      <c r="I118" s="436">
        <f t="shared" si="5"/>
        <v>2.6723673375423806</v>
      </c>
    </row>
    <row r="119" spans="3:9">
      <c r="C119" s="446" t="s">
        <v>631</v>
      </c>
      <c r="D119" s="444">
        <v>1.1294900000000001</v>
      </c>
      <c r="E119" s="444">
        <v>3.4114100000000001</v>
      </c>
      <c r="F119" s="444">
        <v>1.43087554470926</v>
      </c>
      <c r="G119" s="445">
        <f t="shared" si="3"/>
        <v>2.6928641663820763</v>
      </c>
      <c r="H119" t="str">
        <f>VLOOKUP(C119,'11.Region'!$B$22:$E$243,4,FALSE)</f>
        <v>Asia</v>
      </c>
      <c r="I119" s="436">
        <f t="shared" si="5"/>
        <v>2.6928641663820763</v>
      </c>
    </row>
    <row r="120" spans="3:9">
      <c r="C120" s="446" t="s">
        <v>459</v>
      </c>
      <c r="D120" s="444">
        <v>1.1294900000000001</v>
      </c>
      <c r="E120" s="444">
        <v>0.30281000000000002</v>
      </c>
      <c r="F120" s="444">
        <v>0.122429440333495</v>
      </c>
      <c r="G120" s="445">
        <f t="shared" si="3"/>
        <v>2.7936161920559552</v>
      </c>
      <c r="H120" t="str">
        <f>VLOOKUP(C120,'11.Region'!$B$22:$E$243,4,FALSE)</f>
        <v>Asia</v>
      </c>
      <c r="I120" s="436">
        <f t="shared" si="5"/>
        <v>2.7936161920559552</v>
      </c>
    </row>
    <row r="121" spans="3:9">
      <c r="C121" s="446" t="s">
        <v>283</v>
      </c>
      <c r="D121" s="444">
        <v>1.1294900000000001</v>
      </c>
      <c r="E121" s="444">
        <v>79.938900000000004</v>
      </c>
      <c r="F121" s="444">
        <v>31.013712346941801</v>
      </c>
      <c r="G121" s="445">
        <f t="shared" si="3"/>
        <v>2.911298949024506</v>
      </c>
      <c r="H121" t="str">
        <f>VLOOKUP(C121,'11.Region'!$B$22:$E$243,4,FALSE)</f>
        <v>Asia</v>
      </c>
      <c r="I121" s="436">
        <f t="shared" si="5"/>
        <v>2.911298949024506</v>
      </c>
    </row>
    <row r="122" spans="3:9">
      <c r="C122" s="446" t="s">
        <v>581</v>
      </c>
      <c r="D122" s="444">
        <v>1.1294900000000001</v>
      </c>
      <c r="E122" s="444">
        <v>3.7478600000000002</v>
      </c>
      <c r="F122" s="444">
        <v>1.44588687728558</v>
      </c>
      <c r="G122" s="445">
        <f t="shared" si="3"/>
        <v>2.9277327693485242</v>
      </c>
      <c r="H122" t="str">
        <f>VLOOKUP(C122,'11.Region'!$B$22:$E$243,4,FALSE)</f>
        <v>Asia</v>
      </c>
      <c r="I122" s="436">
        <f t="shared" si="5"/>
        <v>2.9277327693485242</v>
      </c>
    </row>
    <row r="123" spans="3:9">
      <c r="C123" s="446" t="s">
        <v>385</v>
      </c>
      <c r="D123" s="444">
        <v>1.1294900000000001</v>
      </c>
      <c r="E123" s="444">
        <v>2.4919799999999999</v>
      </c>
      <c r="F123" s="444">
        <v>0.95660210293676895</v>
      </c>
      <c r="G123" s="445">
        <f t="shared" si="3"/>
        <v>2.9423586688331254</v>
      </c>
      <c r="H123" t="str">
        <f>VLOOKUP(C123,'11.Region'!$B$22:$E$243,4,FALSE)</f>
        <v>Asia</v>
      </c>
      <c r="I123" s="436">
        <f t="shared" si="5"/>
        <v>2.9423586688331254</v>
      </c>
    </row>
    <row r="124" spans="3:9">
      <c r="C124" s="446" t="s">
        <v>641</v>
      </c>
      <c r="D124" s="444">
        <v>1.1294900000000001</v>
      </c>
      <c r="E124" s="444">
        <v>3.6432799999999999</v>
      </c>
      <c r="F124" s="444">
        <v>1.37744</v>
      </c>
      <c r="G124" s="445">
        <f t="shared" si="3"/>
        <v>2.9874610343826231</v>
      </c>
      <c r="H124" t="str">
        <f>VLOOKUP(C124,'11.Region'!$B$22:$E$243,4,FALSE)</f>
        <v>Asia</v>
      </c>
      <c r="I124" s="436">
        <f t="shared" si="5"/>
        <v>2.9874610343826231</v>
      </c>
    </row>
    <row r="125" spans="3:9">
      <c r="C125" s="446" t="s">
        <v>545</v>
      </c>
      <c r="D125" s="444">
        <v>1.1294900000000001</v>
      </c>
      <c r="E125" s="444">
        <v>0.38381999999999999</v>
      </c>
      <c r="F125" s="444">
        <v>0.144557583109135</v>
      </c>
      <c r="G125" s="445">
        <f t="shared" si="3"/>
        <v>2.9989492247716245</v>
      </c>
      <c r="H125" t="str">
        <f>VLOOKUP(C125,'11.Region'!$B$22:$E$243,4,FALSE)</f>
        <v>Asia</v>
      </c>
      <c r="I125" s="436">
        <f t="shared" si="5"/>
        <v>2.9989492247716245</v>
      </c>
    </row>
    <row r="126" spans="3:9">
      <c r="C126" s="446" t="s">
        <v>627</v>
      </c>
      <c r="D126" s="444">
        <v>1.1294900000000001</v>
      </c>
      <c r="E126" s="444">
        <v>33.867040000000003</v>
      </c>
      <c r="F126" s="444">
        <v>12.5230239086361</v>
      </c>
      <c r="G126" s="445">
        <f t="shared" si="3"/>
        <v>3.0545723851265998</v>
      </c>
      <c r="H126" t="str">
        <f>VLOOKUP(C126,'11.Region'!$B$22:$E$243,4,FALSE)</f>
        <v>Asia</v>
      </c>
      <c r="I126" s="436">
        <f t="shared" si="5"/>
        <v>3.0545723851265998</v>
      </c>
    </row>
    <row r="127" spans="3:9">
      <c r="C127" s="446" t="s">
        <v>305</v>
      </c>
      <c r="D127" s="444">
        <v>1.1294900000000001</v>
      </c>
      <c r="E127" s="444">
        <v>1.3677900000000001</v>
      </c>
      <c r="F127" s="444">
        <v>0.49554020132565302</v>
      </c>
      <c r="G127" s="445">
        <f t="shared" si="3"/>
        <v>3.1176181528100453</v>
      </c>
      <c r="H127" t="str">
        <f>VLOOKUP(C127,'11.Region'!$B$22:$E$243,4,FALSE)</f>
        <v>Asia</v>
      </c>
      <c r="I127" s="436">
        <f t="shared" si="5"/>
        <v>3.1176181528100453</v>
      </c>
    </row>
    <row r="128" spans="3:9">
      <c r="C128" s="446" t="s">
        <v>461</v>
      </c>
      <c r="D128" s="444">
        <v>1.1294900000000001</v>
      </c>
      <c r="E128" s="444">
        <v>8103.4088199999997</v>
      </c>
      <c r="F128" s="444">
        <v>2922.0796716975501</v>
      </c>
      <c r="G128" s="445">
        <f t="shared" si="3"/>
        <v>3.1322620381478607</v>
      </c>
      <c r="H128" t="str">
        <f>VLOOKUP(C128,'11.Region'!$B$22:$E$243,4,FALSE)</f>
        <v>Asia</v>
      </c>
      <c r="I128" s="436">
        <f t="shared" si="5"/>
        <v>3.1322620381478607</v>
      </c>
    </row>
    <row r="129" spans="3:9">
      <c r="C129" s="446" t="s">
        <v>553</v>
      </c>
      <c r="D129" s="444">
        <v>1.1294900000000001</v>
      </c>
      <c r="E129" s="444">
        <v>50.324579999999997</v>
      </c>
      <c r="F129" s="444">
        <v>18.057989462174302</v>
      </c>
      <c r="G129" s="445">
        <f t="shared" si="3"/>
        <v>3.1476986949883816</v>
      </c>
      <c r="H129" t="str">
        <f>VLOOKUP(C129,'11.Region'!$B$22:$E$243,4,FALSE)</f>
        <v>Asia</v>
      </c>
      <c r="I129" s="436">
        <f t="shared" si="5"/>
        <v>3.1476986949883816</v>
      </c>
    </row>
    <row r="130" spans="3:9">
      <c r="C130" s="446" t="s">
        <v>451</v>
      </c>
      <c r="D130" s="444">
        <v>1.1294900000000001</v>
      </c>
      <c r="E130" s="444">
        <v>3982.2845499999999</v>
      </c>
      <c r="F130" s="444">
        <v>1401.31376937768</v>
      </c>
      <c r="G130" s="445">
        <f t="shared" si="3"/>
        <v>3.2098097333169209</v>
      </c>
      <c r="H130" t="str">
        <f>VLOOKUP(C130,'11.Region'!$B$22:$E$243,4,FALSE)</f>
        <v>Asia</v>
      </c>
      <c r="I130" s="436">
        <f t="shared" si="5"/>
        <v>3.2098097333169209</v>
      </c>
    </row>
    <row r="131" spans="3:9">
      <c r="C131" s="446" t="s">
        <v>665</v>
      </c>
      <c r="D131" s="444">
        <v>1.1294900000000001</v>
      </c>
      <c r="E131" s="444">
        <v>22456.299630000001</v>
      </c>
      <c r="F131" s="444">
        <v>7735.7139795257399</v>
      </c>
      <c r="G131" s="445">
        <f t="shared" ref="G131:G194" si="6">D131*E131/F131</f>
        <v>3.2788396696440074</v>
      </c>
      <c r="H131" t="str">
        <f>VLOOKUP(C131,'11.Region'!$B$22:$E$243,4,FALSE)</f>
        <v>Asia</v>
      </c>
      <c r="I131" s="436">
        <f t="shared" si="5"/>
        <v>3.2788396696440074</v>
      </c>
    </row>
    <row r="132" spans="3:9">
      <c r="C132" s="446" t="s">
        <v>307</v>
      </c>
      <c r="D132" s="444">
        <v>1.1294900000000001</v>
      </c>
      <c r="E132" s="444">
        <v>65.089330000000004</v>
      </c>
      <c r="F132" s="444">
        <v>22.121183665657799</v>
      </c>
      <c r="G132" s="445">
        <f t="shared" si="6"/>
        <v>3.3234092918740692</v>
      </c>
      <c r="H132" t="str">
        <f>VLOOKUP(C132,'11.Region'!$B$22:$E$243,4,FALSE)</f>
        <v>Asia</v>
      </c>
      <c r="I132" s="436">
        <f t="shared" si="5"/>
        <v>3.3234092918740692</v>
      </c>
    </row>
    <row r="133" spans="3:9">
      <c r="C133" s="446" t="s">
        <v>523</v>
      </c>
      <c r="D133" s="444">
        <v>1.1294900000000001</v>
      </c>
      <c r="E133" s="444">
        <v>4.29819</v>
      </c>
      <c r="F133" s="444">
        <v>1.4531067341180699</v>
      </c>
      <c r="G133" s="445">
        <f t="shared" si="6"/>
        <v>3.3409539086930788</v>
      </c>
      <c r="H133" t="str">
        <f>VLOOKUP(C133,'11.Region'!$B$22:$E$243,4,FALSE)</f>
        <v>Asia</v>
      </c>
      <c r="I133" s="436">
        <f t="shared" si="5"/>
        <v>3.3409539086930788</v>
      </c>
    </row>
    <row r="134" spans="3:9">
      <c r="C134" s="446" t="s">
        <v>445</v>
      </c>
      <c r="D134" s="444">
        <v>1.1294900000000001</v>
      </c>
      <c r="E134" s="444">
        <v>324.40776</v>
      </c>
      <c r="F134" s="444">
        <v>109.09011626749501</v>
      </c>
      <c r="G134" s="445">
        <f t="shared" si="6"/>
        <v>3.3588315181911566</v>
      </c>
      <c r="H134" t="str">
        <f>VLOOKUP(C134,'11.Region'!$B$22:$E$243,4,FALSE)</f>
        <v>Asia</v>
      </c>
      <c r="I134" s="436">
        <f t="shared" si="5"/>
        <v>3.3588315181911566</v>
      </c>
    </row>
    <row r="135" spans="3:9">
      <c r="C135" s="446" t="s">
        <v>449</v>
      </c>
      <c r="D135" s="444">
        <v>1.1294900000000001</v>
      </c>
      <c r="E135" s="444">
        <v>68.863680000000002</v>
      </c>
      <c r="F135" s="444">
        <v>22.5484718277065</v>
      </c>
      <c r="G135" s="445">
        <f t="shared" si="6"/>
        <v>3.4494948712057099</v>
      </c>
      <c r="H135" t="str">
        <f>VLOOKUP(C135,'11.Region'!$B$22:$E$243,4,FALSE)</f>
        <v>Asia</v>
      </c>
      <c r="I135" s="436">
        <f t="shared" si="5"/>
        <v>3.4494948712057099</v>
      </c>
    </row>
    <row r="136" spans="3:9">
      <c r="C136" s="446" t="s">
        <v>539</v>
      </c>
      <c r="D136" s="444">
        <v>1.1294900000000001</v>
      </c>
      <c r="E136" s="444">
        <v>102.71526</v>
      </c>
      <c r="F136" s="444">
        <v>33.072737850539703</v>
      </c>
      <c r="G136" s="445">
        <f t="shared" si="6"/>
        <v>3.5079000577965997</v>
      </c>
      <c r="H136" t="str">
        <f>VLOOKUP(C136,'11.Region'!$B$22:$E$243,4,FALSE)</f>
        <v>Asia</v>
      </c>
      <c r="I136" s="436">
        <f t="shared" si="5"/>
        <v>3.5079000577965997</v>
      </c>
    </row>
    <row r="137" spans="3:9">
      <c r="C137" s="446" t="s">
        <v>473</v>
      </c>
      <c r="D137" s="444">
        <v>1.1294900000000001</v>
      </c>
      <c r="E137" s="444">
        <v>150.55942999999999</v>
      </c>
      <c r="F137" s="444">
        <v>48.374933421256799</v>
      </c>
      <c r="G137" s="445">
        <f t="shared" si="6"/>
        <v>3.5153613362075382</v>
      </c>
      <c r="H137" t="str">
        <f>VLOOKUP(C137,'11.Region'!$B$22:$E$243,4,FALSE)</f>
        <v>Asia</v>
      </c>
      <c r="I137" s="436">
        <f t="shared" si="5"/>
        <v>3.5153613362075382</v>
      </c>
    </row>
    <row r="138" spans="3:9">
      <c r="C138" s="446" t="s">
        <v>633</v>
      </c>
      <c r="D138" s="444">
        <v>1.1294900000000001</v>
      </c>
      <c r="E138" s="444">
        <v>1</v>
      </c>
      <c r="F138" s="444">
        <v>0.31599165515782301</v>
      </c>
      <c r="G138" s="445">
        <f t="shared" si="6"/>
        <v>3.5744298356102879</v>
      </c>
      <c r="H138" t="str">
        <f>VLOOKUP(C138,'11.Region'!$B$22:$E$243,4,FALSE)</f>
        <v>Asia</v>
      </c>
      <c r="I138" s="436">
        <f t="shared" si="5"/>
        <v>3.5744298356102879</v>
      </c>
    </row>
    <row r="139" spans="3:9">
      <c r="C139" s="446" t="s">
        <v>421</v>
      </c>
      <c r="D139" s="444">
        <v>1.1294900000000001</v>
      </c>
      <c r="E139" s="444">
        <v>13337.40336</v>
      </c>
      <c r="F139" s="444">
        <v>4190.4924702696098</v>
      </c>
      <c r="G139" s="445">
        <f t="shared" si="6"/>
        <v>3.5949148764649079</v>
      </c>
      <c r="H139" t="str">
        <f>VLOOKUP(C139,'11.Region'!$B$22:$E$243,4,FALSE)</f>
        <v>Asia</v>
      </c>
      <c r="I139" s="436">
        <f t="shared" si="5"/>
        <v>3.5949148764649079</v>
      </c>
    </row>
    <row r="140" spans="3:9">
      <c r="C140" s="446" t="s">
        <v>431</v>
      </c>
      <c r="D140" s="444">
        <v>1.1294900000000001</v>
      </c>
      <c r="E140" s="444">
        <v>1155.55961</v>
      </c>
      <c r="F140" s="444">
        <v>355.05913105779302</v>
      </c>
      <c r="G140" s="445">
        <f t="shared" si="6"/>
        <v>3.6759877714184279</v>
      </c>
      <c r="H140" t="str">
        <f>VLOOKUP(C140,'11.Region'!$B$22:$E$243,4,FALSE)</f>
        <v>Asia</v>
      </c>
      <c r="I140" s="436">
        <f t="shared" si="5"/>
        <v>3.6759877714184279</v>
      </c>
    </row>
    <row r="141" spans="3:9">
      <c r="C141" s="446" t="s">
        <v>247</v>
      </c>
      <c r="D141" s="444">
        <v>1.1294900000000001</v>
      </c>
      <c r="E141" s="444">
        <v>67.553380000000004</v>
      </c>
      <c r="F141" s="444">
        <v>20.205050824669598</v>
      </c>
      <c r="G141" s="445">
        <f t="shared" si="6"/>
        <v>3.7763264165136152</v>
      </c>
      <c r="H141" t="str">
        <f>VLOOKUP(C141,'11.Region'!$B$22:$E$243,4,FALSE)</f>
        <v>Asia</v>
      </c>
      <c r="I141" s="436">
        <f t="shared" si="5"/>
        <v>3.7763264165136152</v>
      </c>
    </row>
    <row r="142" spans="3:9">
      <c r="C142" s="446" t="s">
        <v>511</v>
      </c>
      <c r="D142" s="444">
        <v>1.1294900000000001</v>
      </c>
      <c r="E142" s="444">
        <v>2431.0014999999999</v>
      </c>
      <c r="F142" s="444">
        <v>701.02300204035203</v>
      </c>
      <c r="G142" s="445">
        <f t="shared" si="6"/>
        <v>3.9168356476795716</v>
      </c>
      <c r="H142" t="str">
        <f>VLOOKUP(C142,'11.Region'!$B$22:$E$243,4,FALSE)</f>
        <v>Asia</v>
      </c>
      <c r="I142" s="436">
        <f t="shared" si="5"/>
        <v>3.9168356476795716</v>
      </c>
    </row>
    <row r="143" spans="3:9">
      <c r="C143" s="446" t="s">
        <v>547</v>
      </c>
      <c r="D143" s="444">
        <v>1.1294900000000001</v>
      </c>
      <c r="E143" s="444">
        <v>104.36447</v>
      </c>
      <c r="F143" s="444">
        <v>29.3509185684774</v>
      </c>
      <c r="G143" s="445">
        <f t="shared" si="6"/>
        <v>4.0161818085959498</v>
      </c>
      <c r="H143" t="str">
        <f>VLOOKUP(C143,'11.Region'!$B$22:$E$243,4,FALSE)</f>
        <v>Asia</v>
      </c>
      <c r="I143" s="436">
        <f t="shared" si="5"/>
        <v>4.0161818085959498</v>
      </c>
    </row>
    <row r="144" spans="3:9">
      <c r="C144" s="446" t="s">
        <v>425</v>
      </c>
      <c r="D144" s="444">
        <v>1.1294900000000001</v>
      </c>
      <c r="E144" s="444">
        <v>65.048370000000006</v>
      </c>
      <c r="F144" s="444">
        <v>17.729170233043401</v>
      </c>
      <c r="G144" s="445">
        <f t="shared" si="6"/>
        <v>4.1441016395885688</v>
      </c>
      <c r="H144" t="str">
        <f>VLOOKUP(C144,'11.Region'!$B$22:$E$243,4,FALSE)</f>
        <v>Asia</v>
      </c>
      <c r="I144" s="436">
        <f t="shared" si="5"/>
        <v>4.1441016395885688</v>
      </c>
    </row>
    <row r="145" spans="3:12">
      <c r="C145" s="446" t="s">
        <v>429</v>
      </c>
      <c r="D145" s="444">
        <v>1.1294900000000001</v>
      </c>
      <c r="E145" s="444">
        <v>32929.177250000001</v>
      </c>
      <c r="F145" s="444">
        <v>8720.1654729431993</v>
      </c>
      <c r="G145" s="445">
        <f t="shared" si="6"/>
        <v>4.2651915869606993</v>
      </c>
      <c r="H145" t="str">
        <f>VLOOKUP(C145,'11.Region'!$B$22:$E$243,4,FALSE)</f>
        <v>Asia</v>
      </c>
      <c r="I145" s="436">
        <f t="shared" si="5"/>
        <v>4.2651915869606993</v>
      </c>
    </row>
    <row r="146" spans="3:12">
      <c r="C146" s="446" t="s">
        <v>629</v>
      </c>
      <c r="D146" s="444">
        <v>1.1294900000000001</v>
      </c>
      <c r="E146" s="444">
        <v>8.4917400000000001</v>
      </c>
      <c r="F146" s="444">
        <v>2.1532039924397401</v>
      </c>
      <c r="G146" s="445">
        <f t="shared" si="6"/>
        <v>4.4544480905092065</v>
      </c>
      <c r="H146" t="str">
        <f>VLOOKUP(C146,'11.Region'!$B$22:$E$243,4,FALSE)</f>
        <v>Asia</v>
      </c>
      <c r="I146" s="436">
        <f t="shared" si="5"/>
        <v>4.4544480905092065</v>
      </c>
    </row>
    <row r="147" spans="3:12">
      <c r="C147" s="446" t="s">
        <v>273</v>
      </c>
      <c r="D147" s="444">
        <v>1.1294900000000001</v>
      </c>
      <c r="E147" s="444">
        <v>1.71207</v>
      </c>
      <c r="F147" s="444">
        <v>0.40874092310211901</v>
      </c>
      <c r="G147" s="445">
        <f t="shared" si="6"/>
        <v>4.7310309171486411</v>
      </c>
      <c r="H147" t="str">
        <f>VLOOKUP(C147,'11.Region'!$B$22:$E$243,4,FALSE)</f>
        <v>Asia</v>
      </c>
      <c r="I147" s="436">
        <f t="shared" si="5"/>
        <v>4.7310309171486411</v>
      </c>
    </row>
    <row r="148" spans="3:12">
      <c r="C148" s="446" t="s">
        <v>655</v>
      </c>
      <c r="D148" s="444">
        <v>1.1294900000000001</v>
      </c>
      <c r="E148" s="444">
        <v>5070.3450800000001</v>
      </c>
      <c r="F148" s="444">
        <v>1120.52942618577</v>
      </c>
      <c r="G148" s="445">
        <f t="shared" si="6"/>
        <v>5.110891272086727</v>
      </c>
      <c r="H148" t="str">
        <f>VLOOKUP(C148,'11.Region'!$B$22:$E$243,4,FALSE)</f>
        <v>Asia</v>
      </c>
      <c r="I148" s="436">
        <f t="shared" si="5"/>
        <v>5.110891272086727</v>
      </c>
    </row>
    <row r="149" spans="3:12">
      <c r="C149" s="446" t="s">
        <v>507</v>
      </c>
      <c r="D149" s="444">
        <v>1.1294900000000001</v>
      </c>
      <c r="E149" s="444">
        <v>1342.9090000000001</v>
      </c>
      <c r="F149" s="444">
        <v>285.35266000155099</v>
      </c>
      <c r="G149" s="445">
        <f t="shared" si="6"/>
        <v>5.315535822941885</v>
      </c>
      <c r="H149" t="str">
        <f>VLOOKUP(C149,'11.Region'!$B$22:$E$243,4,FALSE)</f>
        <v>Asia</v>
      </c>
      <c r="I149" s="436">
        <f t="shared" si="5"/>
        <v>5.315535822941885</v>
      </c>
    </row>
    <row r="150" spans="3:12">
      <c r="C150" s="446" t="s">
        <v>563</v>
      </c>
      <c r="D150" s="444">
        <v>1.1294900000000001</v>
      </c>
      <c r="G150" s="445" t="e">
        <f t="shared" si="6"/>
        <v>#DIV/0!</v>
      </c>
      <c r="H150" t="str">
        <f>VLOOKUP(C150,'11.Region'!$B$22:$E$243,4,FALSE)</f>
        <v>Asia</v>
      </c>
      <c r="I150" s="436">
        <f>$K$103</f>
        <v>3.0027294367224551</v>
      </c>
      <c r="J150" t="s">
        <v>244</v>
      </c>
    </row>
    <row r="151" spans="3:12">
      <c r="C151" s="446" t="s">
        <v>619</v>
      </c>
      <c r="D151" s="444">
        <v>1.1294900000000001</v>
      </c>
      <c r="G151" s="445" t="e">
        <f t="shared" si="6"/>
        <v>#DIV/0!</v>
      </c>
      <c r="H151" t="str">
        <f>VLOOKUP(C151,'11.Region'!$B$22:$E$243,4,FALSE)</f>
        <v>Asia</v>
      </c>
      <c r="I151" s="436">
        <f>$K$103</f>
        <v>3.0027294367224551</v>
      </c>
      <c r="J151" t="s">
        <v>244</v>
      </c>
    </row>
    <row r="152" spans="3:12">
      <c r="C152" s="446" t="s">
        <v>673</v>
      </c>
      <c r="D152" s="444">
        <v>1.1294900000000001</v>
      </c>
      <c r="F152" s="444">
        <v>0</v>
      </c>
      <c r="G152" s="445" t="e">
        <f t="shared" si="6"/>
        <v>#DIV/0!</v>
      </c>
      <c r="H152" t="str">
        <f>VLOOKUP(C152,'11.Region'!$B$22:$E$243,4,FALSE)</f>
        <v>Asia</v>
      </c>
      <c r="I152" s="436">
        <f>$K$103</f>
        <v>3.0027294367224551</v>
      </c>
      <c r="J152" t="s">
        <v>244</v>
      </c>
    </row>
    <row r="153" spans="3:12">
      <c r="C153" s="446" t="s">
        <v>537</v>
      </c>
      <c r="D153" s="444">
        <v>1.1294900000000001</v>
      </c>
      <c r="E153" s="444">
        <v>8.2649399999999993</v>
      </c>
      <c r="F153" s="444">
        <v>10.242149</v>
      </c>
      <c r="G153" s="445">
        <f t="shared" si="6"/>
        <v>0.91144613113908035</v>
      </c>
      <c r="H153" t="str">
        <f>VLOOKUP(C153,'11.Region'!$B$22:$E$243,4,FALSE)</f>
        <v>Europe</v>
      </c>
      <c r="I153" s="436">
        <f>G153</f>
        <v>0.91144613113908035</v>
      </c>
      <c r="K153" s="435">
        <f>AVERAGE(G153:G193)</f>
        <v>1.9328616451977572</v>
      </c>
      <c r="L153" s="433" t="s">
        <v>254</v>
      </c>
    </row>
    <row r="154" spans="3:12">
      <c r="C154" s="446" t="s">
        <v>559</v>
      </c>
      <c r="D154" s="444">
        <v>1.1294900000000001</v>
      </c>
      <c r="E154" s="444">
        <v>3.7740800000000001</v>
      </c>
      <c r="F154" s="444">
        <v>1.7820419999999999</v>
      </c>
      <c r="G154" s="445">
        <f t="shared" si="6"/>
        <v>2.3920792098053809</v>
      </c>
      <c r="H154" t="str">
        <f>VLOOKUP(C154,'11.Region'!$B$22:$E$243,4,FALSE)</f>
        <v>Europe</v>
      </c>
      <c r="I154" s="436">
        <f t="shared" ref="I154:I193" si="7">G154</f>
        <v>2.3920792098053809</v>
      </c>
    </row>
    <row r="155" spans="3:12">
      <c r="C155" s="446" t="s">
        <v>505</v>
      </c>
      <c r="D155" s="444">
        <v>1.1294900000000001</v>
      </c>
      <c r="E155" s="444">
        <v>0.38078000000000001</v>
      </c>
      <c r="F155" s="444">
        <v>0.60482899579581295</v>
      </c>
      <c r="G155" s="445">
        <f t="shared" si="6"/>
        <v>0.71108892792764722</v>
      </c>
      <c r="H155" t="str">
        <f>VLOOKUP(C155,'11.Region'!$B$22:$E$243,4,FALSE)</f>
        <v>Europe</v>
      </c>
      <c r="I155" s="436">
        <f t="shared" si="7"/>
        <v>0.71108892792764722</v>
      </c>
    </row>
    <row r="156" spans="3:12">
      <c r="C156" s="446" t="s">
        <v>433</v>
      </c>
      <c r="D156" s="444">
        <v>1.1294900000000001</v>
      </c>
      <c r="E156" s="444">
        <v>106.39519</v>
      </c>
      <c r="F156" s="444">
        <v>139.86222599999999</v>
      </c>
      <c r="G156" s="445">
        <f t="shared" si="6"/>
        <v>0.8592191515177231</v>
      </c>
      <c r="H156" t="str">
        <f>VLOOKUP(C156,'11.Region'!$B$22:$E$243,4,FALSE)</f>
        <v>Europe</v>
      </c>
      <c r="I156" s="436">
        <f t="shared" si="7"/>
        <v>0.8592191515177231</v>
      </c>
    </row>
    <row r="157" spans="3:12">
      <c r="C157" s="446" t="s">
        <v>315</v>
      </c>
      <c r="D157" s="444">
        <v>1.1294900000000001</v>
      </c>
      <c r="E157" s="444">
        <v>0.98443000000000003</v>
      </c>
      <c r="F157" s="444">
        <v>1.21468</v>
      </c>
      <c r="G157" s="445">
        <f t="shared" si="6"/>
        <v>0.9153882839101658</v>
      </c>
      <c r="H157" t="str">
        <f>VLOOKUP(C157,'11.Region'!$B$22:$E$243,4,FALSE)</f>
        <v>Europe</v>
      </c>
      <c r="I157" s="436">
        <f t="shared" si="7"/>
        <v>0.9153882839101658</v>
      </c>
    </row>
    <row r="158" spans="3:12">
      <c r="C158" s="446" t="s">
        <v>353</v>
      </c>
      <c r="D158" s="444">
        <v>1.1294900000000001</v>
      </c>
      <c r="E158" s="439">
        <v>6.5973600000000001</v>
      </c>
      <c r="F158" s="444">
        <v>7.3562820000000002</v>
      </c>
      <c r="G158" s="445">
        <f t="shared" si="6"/>
        <v>1.0129644494868468</v>
      </c>
      <c r="H158" t="str">
        <f>VLOOKUP(C158,'11.Region'!$B$22:$E$243,4,FALSE)</f>
        <v>Europe</v>
      </c>
      <c r="I158" s="436">
        <f t="shared" si="7"/>
        <v>1.0129644494868468</v>
      </c>
    </row>
    <row r="159" spans="3:12">
      <c r="C159" s="446" t="s">
        <v>611</v>
      </c>
      <c r="D159" s="444">
        <v>1.1294900000000001</v>
      </c>
      <c r="E159" s="444">
        <v>8.5409500000000005</v>
      </c>
      <c r="F159" s="444">
        <v>9.1246550000000006</v>
      </c>
      <c r="G159" s="445">
        <f t="shared" si="6"/>
        <v>1.0572364232401117</v>
      </c>
      <c r="H159" t="str">
        <f>VLOOKUP(C159,'11.Region'!$B$22:$E$243,4,FALSE)</f>
        <v>Europe</v>
      </c>
      <c r="I159" s="436">
        <f t="shared" si="7"/>
        <v>1.0572364232401117</v>
      </c>
    </row>
    <row r="160" spans="3:12">
      <c r="C160" s="446" t="s">
        <v>371</v>
      </c>
      <c r="D160" s="444">
        <v>1.1294900000000001</v>
      </c>
      <c r="E160" s="444">
        <f>1/1.12949</f>
        <v>0.88535533736465122</v>
      </c>
      <c r="F160" s="444">
        <v>0.89744599999999997</v>
      </c>
      <c r="G160" s="445">
        <f t="shared" si="6"/>
        <v>1.1142731707534492</v>
      </c>
      <c r="H160" t="str">
        <f>VLOOKUP(C160,'11.Region'!$B$22:$E$243,4,FALSE)</f>
        <v>Europe</v>
      </c>
      <c r="I160" s="436">
        <f t="shared" si="7"/>
        <v>1.1142731707534492</v>
      </c>
    </row>
    <row r="161" spans="3:9">
      <c r="C161" s="446" t="s">
        <v>479</v>
      </c>
      <c r="D161" s="444">
        <v>1.1294900000000001</v>
      </c>
      <c r="E161" s="444">
        <f>1/1.12949</f>
        <v>0.88535533736465122</v>
      </c>
      <c r="F161" s="444">
        <v>0.89117500000000005</v>
      </c>
      <c r="G161" s="445">
        <f t="shared" si="6"/>
        <v>1.1221140628944932</v>
      </c>
      <c r="H161" t="str">
        <f>VLOOKUP(C161,'11.Region'!$B$22:$E$243,4,FALSE)</f>
        <v>Europe</v>
      </c>
      <c r="I161" s="436">
        <f t="shared" si="7"/>
        <v>1.1221140628944932</v>
      </c>
    </row>
    <row r="162" spans="3:9">
      <c r="C162" s="446" t="s">
        <v>277</v>
      </c>
      <c r="D162" s="444">
        <v>1.1294900000000001</v>
      </c>
      <c r="E162" s="444">
        <f>1/1.12949</f>
        <v>0.88535533736465122</v>
      </c>
      <c r="F162" s="444">
        <v>0.80833900000000003</v>
      </c>
      <c r="G162" s="445">
        <f t="shared" si="6"/>
        <v>1.2371047295750917</v>
      </c>
      <c r="H162" t="str">
        <f>VLOOKUP(C162,'11.Region'!$B$22:$E$243,4,FALSE)</f>
        <v>Europe</v>
      </c>
      <c r="I162" s="436">
        <f t="shared" si="7"/>
        <v>1.2371047295750917</v>
      </c>
    </row>
    <row r="163" spans="3:9">
      <c r="C163" s="446" t="s">
        <v>535</v>
      </c>
      <c r="D163" s="444">
        <v>1.1294900000000001</v>
      </c>
      <c r="E163" s="444">
        <f>1/1.12949</f>
        <v>0.88535533736465122</v>
      </c>
      <c r="F163" s="444">
        <v>0.80831500000000001</v>
      </c>
      <c r="G163" s="445">
        <f t="shared" si="6"/>
        <v>1.2371414609403513</v>
      </c>
      <c r="H163" t="str">
        <f>VLOOKUP(C163,'11.Region'!$B$22:$E$243,4,FALSE)</f>
        <v>Europe</v>
      </c>
      <c r="I163" s="436">
        <f t="shared" si="7"/>
        <v>1.2371414609403513</v>
      </c>
    </row>
    <row r="164" spans="3:9">
      <c r="C164" s="446" t="s">
        <v>427</v>
      </c>
      <c r="D164" s="444">
        <v>1.1294900000000001</v>
      </c>
      <c r="E164" s="444">
        <f>1/1.12949</f>
        <v>0.88535533736465122</v>
      </c>
      <c r="F164" s="444">
        <v>0.80629200000000001</v>
      </c>
      <c r="G164" s="445">
        <f t="shared" si="6"/>
        <v>1.2402454693833003</v>
      </c>
      <c r="H164" t="str">
        <f>VLOOKUP(C164,'11.Region'!$B$22:$E$243,4,FALSE)</f>
        <v>Europe</v>
      </c>
      <c r="I164" s="436">
        <f t="shared" si="7"/>
        <v>1.2402454693833003</v>
      </c>
    </row>
    <row r="165" spans="3:9">
      <c r="C165" s="446" t="s">
        <v>383</v>
      </c>
      <c r="D165" s="444">
        <v>1.1294900000000001</v>
      </c>
      <c r="E165" s="444">
        <v>0.77666999999999997</v>
      </c>
      <c r="F165" s="444">
        <v>0.70340199999999997</v>
      </c>
      <c r="G165" s="445">
        <f t="shared" si="6"/>
        <v>1.2471403241674037</v>
      </c>
      <c r="H165" t="str">
        <f>VLOOKUP(C165,'11.Region'!$B$22:$E$243,4,FALSE)</f>
        <v>Europe</v>
      </c>
      <c r="I165" s="436">
        <f t="shared" si="7"/>
        <v>1.2471403241674037</v>
      </c>
    </row>
    <row r="166" spans="3:9">
      <c r="C166" s="446" t="s">
        <v>271</v>
      </c>
      <c r="D166" s="444">
        <v>1.1294900000000001</v>
      </c>
      <c r="E166" s="444">
        <f t="shared" ref="E166:E176" si="8">1/1.12949</f>
        <v>0.88535533736465122</v>
      </c>
      <c r="F166" s="444">
        <v>0.79847500000000005</v>
      </c>
      <c r="G166" s="445">
        <f t="shared" si="6"/>
        <v>1.252387363411503</v>
      </c>
      <c r="H166" t="str">
        <f>VLOOKUP(C166,'11.Region'!$B$22:$E$243,4,FALSE)</f>
        <v>Europe</v>
      </c>
      <c r="I166" s="436">
        <f t="shared" si="7"/>
        <v>1.252387363411503</v>
      </c>
    </row>
    <row r="167" spans="3:9">
      <c r="C167" s="446" t="s">
        <v>375</v>
      </c>
      <c r="D167" s="444">
        <v>1.1294900000000001</v>
      </c>
      <c r="E167" s="444">
        <f t="shared" si="8"/>
        <v>0.88535533736465122</v>
      </c>
      <c r="F167" s="444">
        <v>0.79815199999999997</v>
      </c>
      <c r="G167" s="445">
        <f t="shared" si="6"/>
        <v>1.2528941855686637</v>
      </c>
      <c r="H167" t="str">
        <f>VLOOKUP(C167,'11.Region'!$B$22:$E$243,4,FALSE)</f>
        <v>Europe</v>
      </c>
      <c r="I167" s="436">
        <f t="shared" si="7"/>
        <v>1.2528941855686637</v>
      </c>
    </row>
    <row r="168" spans="3:9">
      <c r="C168" s="446" t="s">
        <v>347</v>
      </c>
      <c r="D168" s="444">
        <v>1.1294900000000001</v>
      </c>
      <c r="E168" s="444">
        <f t="shared" si="8"/>
        <v>0.88535533736465122</v>
      </c>
      <c r="F168" s="444">
        <v>0.77811399999999997</v>
      </c>
      <c r="G168" s="445">
        <f t="shared" si="6"/>
        <v>1.2851587299547367</v>
      </c>
      <c r="H168" t="str">
        <f>VLOOKUP(C168,'11.Region'!$B$22:$E$243,4,FALSE)</f>
        <v>Europe</v>
      </c>
      <c r="I168" s="436">
        <f t="shared" si="7"/>
        <v>1.2851587299547367</v>
      </c>
    </row>
    <row r="169" spans="3:9">
      <c r="C169" s="446" t="s">
        <v>437</v>
      </c>
      <c r="D169" s="444">
        <v>1.1294900000000001</v>
      </c>
      <c r="E169" s="444">
        <f t="shared" si="8"/>
        <v>0.88535533736465122</v>
      </c>
      <c r="F169" s="444">
        <v>0.71213000000000004</v>
      </c>
      <c r="G169" s="445">
        <f t="shared" si="6"/>
        <v>1.4042379902545883</v>
      </c>
      <c r="H169" t="str">
        <f>VLOOKUP(C169,'11.Region'!$B$22:$E$243,4,FALSE)</f>
        <v>Europe</v>
      </c>
      <c r="I169" s="436">
        <f t="shared" si="7"/>
        <v>1.4042379902545883</v>
      </c>
    </row>
    <row r="170" spans="3:9">
      <c r="C170" s="446" t="s">
        <v>595</v>
      </c>
      <c r="D170" s="444">
        <v>1.1294900000000001</v>
      </c>
      <c r="E170" s="444">
        <f t="shared" si="8"/>
        <v>0.88535533736465122</v>
      </c>
      <c r="F170" s="444">
        <v>0.70598973886453797</v>
      </c>
      <c r="G170" s="445">
        <f t="shared" si="6"/>
        <v>1.4164511818660801</v>
      </c>
      <c r="H170" t="str">
        <f>VLOOKUP(C170,'11.Region'!$B$22:$E$243,4,FALSE)</f>
        <v>Europe</v>
      </c>
      <c r="I170" s="436">
        <f t="shared" si="7"/>
        <v>1.4164511818660801</v>
      </c>
    </row>
    <row r="171" spans="3:9">
      <c r="C171" s="446" t="s">
        <v>365</v>
      </c>
      <c r="D171" s="444">
        <v>1.1294900000000001</v>
      </c>
      <c r="E171" s="444">
        <f t="shared" si="8"/>
        <v>0.88535533736465122</v>
      </c>
      <c r="F171" s="444">
        <v>0.65596399999999999</v>
      </c>
      <c r="G171" s="445">
        <f t="shared" si="6"/>
        <v>1.5244739040557105</v>
      </c>
      <c r="H171" t="str">
        <f>VLOOKUP(C171,'11.Region'!$B$22:$E$243,4,FALSE)</f>
        <v>Europe</v>
      </c>
      <c r="I171" s="436">
        <f t="shared" si="7"/>
        <v>1.5244739040557105</v>
      </c>
    </row>
    <row r="172" spans="3:9">
      <c r="C172" s="446" t="s">
        <v>609</v>
      </c>
      <c r="D172" s="444">
        <v>1.1294900000000001</v>
      </c>
      <c r="E172" s="444">
        <f t="shared" si="8"/>
        <v>0.88535533736465122</v>
      </c>
      <c r="F172" s="444">
        <v>0.60170100000000004</v>
      </c>
      <c r="G172" s="445">
        <f t="shared" si="6"/>
        <v>1.6619550241731358</v>
      </c>
      <c r="H172" t="str">
        <f>VLOOKUP(C172,'11.Region'!$B$22:$E$243,4,FALSE)</f>
        <v>Europe</v>
      </c>
      <c r="I172" s="436">
        <f t="shared" si="7"/>
        <v>1.6619550241731358</v>
      </c>
    </row>
    <row r="173" spans="3:9">
      <c r="C173" s="446" t="s">
        <v>399</v>
      </c>
      <c r="D173" s="444">
        <v>1.1294900000000001</v>
      </c>
      <c r="E173" s="444">
        <f t="shared" si="8"/>
        <v>0.88535533736465122</v>
      </c>
      <c r="F173" s="444">
        <v>0.59395399999999998</v>
      </c>
      <c r="G173" s="445">
        <f t="shared" si="6"/>
        <v>1.6836320657828721</v>
      </c>
      <c r="H173" t="str">
        <f>VLOOKUP(C173,'11.Region'!$B$22:$E$243,4,FALSE)</f>
        <v>Europe</v>
      </c>
      <c r="I173" s="436">
        <f t="shared" si="7"/>
        <v>1.6836320657828721</v>
      </c>
    </row>
    <row r="174" spans="3:9">
      <c r="C174" s="446" t="s">
        <v>565</v>
      </c>
      <c r="D174" s="444">
        <v>1.1294900000000001</v>
      </c>
      <c r="E174" s="444">
        <f t="shared" si="8"/>
        <v>0.88535533736465122</v>
      </c>
      <c r="F174" s="444">
        <v>0.58251500000000001</v>
      </c>
      <c r="G174" s="445">
        <f t="shared" si="6"/>
        <v>1.7166939907126855</v>
      </c>
      <c r="H174" t="str">
        <f>VLOOKUP(C174,'11.Region'!$B$22:$E$243,4,FALSE)</f>
        <v>Europe</v>
      </c>
      <c r="I174" s="436">
        <f t="shared" si="7"/>
        <v>1.7166939907126855</v>
      </c>
    </row>
    <row r="175" spans="3:9">
      <c r="C175" s="446" t="s">
        <v>367</v>
      </c>
      <c r="D175" s="444">
        <v>1.1294900000000001</v>
      </c>
      <c r="E175" s="444">
        <f t="shared" si="8"/>
        <v>0.88535533736465122</v>
      </c>
      <c r="F175" s="444">
        <v>0.55269100000000004</v>
      </c>
      <c r="G175" s="445">
        <f t="shared" si="6"/>
        <v>1.8093292635487097</v>
      </c>
      <c r="H175" t="str">
        <f>VLOOKUP(C175,'11.Region'!$B$22:$E$243,4,FALSE)</f>
        <v>Europe</v>
      </c>
      <c r="I175" s="436">
        <f t="shared" si="7"/>
        <v>1.8093292635487097</v>
      </c>
    </row>
    <row r="176" spans="3:9">
      <c r="C176" s="446" t="s">
        <v>481</v>
      </c>
      <c r="D176" s="444">
        <v>1.1294900000000001</v>
      </c>
      <c r="E176" s="444">
        <f t="shared" si="8"/>
        <v>0.88535533736465122</v>
      </c>
      <c r="F176" s="444">
        <v>0.50141909486332803</v>
      </c>
      <c r="G176" s="445">
        <f t="shared" si="6"/>
        <v>1.9943396855928879</v>
      </c>
      <c r="H176" t="str">
        <f>VLOOKUP(C176,'11.Region'!$B$22:$E$243,4,FALSE)</f>
        <v>Europe</v>
      </c>
      <c r="I176" s="436">
        <f t="shared" si="7"/>
        <v>1.9943396855928879</v>
      </c>
    </row>
    <row r="177" spans="3:9">
      <c r="C177" s="446" t="s">
        <v>345</v>
      </c>
      <c r="D177" s="444">
        <v>1.1294900000000001</v>
      </c>
      <c r="E177" s="444">
        <v>23.362030000000001</v>
      </c>
      <c r="F177" s="444">
        <v>12.897748</v>
      </c>
      <c r="G177" s="445">
        <f t="shared" si="6"/>
        <v>2.0458749282975601</v>
      </c>
      <c r="H177" t="str">
        <f>VLOOKUP(C177,'11.Region'!$B$22:$E$243,4,FALSE)</f>
        <v>Europe</v>
      </c>
      <c r="I177" s="436">
        <f t="shared" si="7"/>
        <v>2.0458749282975601</v>
      </c>
    </row>
    <row r="178" spans="3:9">
      <c r="C178" s="446" t="s">
        <v>607</v>
      </c>
      <c r="D178" s="444">
        <v>1.1294900000000001</v>
      </c>
      <c r="E178" s="444">
        <f>1/1.12949</f>
        <v>0.88535533736465122</v>
      </c>
      <c r="F178" s="444">
        <v>0.48652600000000001</v>
      </c>
      <c r="G178" s="445">
        <f t="shared" si="6"/>
        <v>2.0553886123249323</v>
      </c>
      <c r="H178" t="str">
        <f>VLOOKUP(C178,'11.Region'!$B$22:$E$243,4,FALSE)</f>
        <v>Europe</v>
      </c>
      <c r="I178" s="436">
        <f t="shared" si="7"/>
        <v>2.0553886123249323</v>
      </c>
    </row>
    <row r="179" spans="3:9">
      <c r="C179" s="446" t="s">
        <v>415</v>
      </c>
      <c r="D179" s="444">
        <v>1.1294900000000001</v>
      </c>
      <c r="E179" s="444">
        <v>6.6140299999999996</v>
      </c>
      <c r="F179" s="444">
        <v>3.48553992522658</v>
      </c>
      <c r="G179" s="445">
        <f t="shared" si="6"/>
        <v>2.1432779153187802</v>
      </c>
      <c r="H179" t="str">
        <f>VLOOKUP(C179,'11.Region'!$B$22:$E$243,4,FALSE)</f>
        <v>Europe</v>
      </c>
      <c r="I179" s="436">
        <f t="shared" si="7"/>
        <v>2.1432779153187802</v>
      </c>
    </row>
    <row r="180" spans="3:9">
      <c r="C180" s="446" t="s">
        <v>477</v>
      </c>
      <c r="D180" s="444">
        <v>1.1294900000000001</v>
      </c>
      <c r="E180" s="444">
        <f>1/1.12949</f>
        <v>0.88535533736465122</v>
      </c>
      <c r="F180" s="444">
        <v>0.46124147161082901</v>
      </c>
      <c r="G180" s="445">
        <f t="shared" si="6"/>
        <v>2.1680617670991795</v>
      </c>
      <c r="H180" t="str">
        <f>VLOOKUP(C180,'11.Region'!$B$22:$E$243,4,FALSE)</f>
        <v>Europe</v>
      </c>
      <c r="I180" s="436">
        <f t="shared" si="7"/>
        <v>2.1680617670991795</v>
      </c>
    </row>
    <row r="181" spans="3:9">
      <c r="C181" s="446" t="s">
        <v>419</v>
      </c>
      <c r="D181" s="444">
        <v>1.1294900000000001</v>
      </c>
      <c r="E181" s="444">
        <v>274.10039</v>
      </c>
      <c r="F181" s="444">
        <v>137.57606200000001</v>
      </c>
      <c r="G181" s="445">
        <f t="shared" si="6"/>
        <v>2.2503453362482495</v>
      </c>
      <c r="H181" t="str">
        <f>VLOOKUP(C181,'11.Region'!$B$22:$E$243,4,FALSE)</f>
        <v>Europe</v>
      </c>
      <c r="I181" s="436">
        <f t="shared" si="7"/>
        <v>2.2503453362482495</v>
      </c>
    </row>
    <row r="182" spans="3:9">
      <c r="C182" s="446" t="s">
        <v>577</v>
      </c>
      <c r="D182" s="444">
        <v>1.1294900000000001</v>
      </c>
      <c r="E182" s="444">
        <v>58.292389999999997</v>
      </c>
      <c r="F182" s="444">
        <v>24.547936</v>
      </c>
      <c r="G182" s="445">
        <f t="shared" si="6"/>
        <v>2.6821265780186163</v>
      </c>
      <c r="H182" t="str">
        <f>VLOOKUP(C182,'11.Region'!$B$22:$E$243,4,FALSE)</f>
        <v>Europe</v>
      </c>
      <c r="I182" s="436">
        <f t="shared" si="7"/>
        <v>2.6821265780186163</v>
      </c>
    </row>
    <row r="183" spans="3:9">
      <c r="C183" s="446" t="s">
        <v>575</v>
      </c>
      <c r="D183" s="444">
        <v>1.1294900000000001</v>
      </c>
      <c r="E183" s="444">
        <v>4.04725</v>
      </c>
      <c r="F183" s="444">
        <v>1.69586564059295</v>
      </c>
      <c r="G183" s="445">
        <f t="shared" si="6"/>
        <v>2.6955722747597277</v>
      </c>
      <c r="H183" t="str">
        <f>VLOOKUP(C183,'11.Region'!$B$22:$E$243,4,FALSE)</f>
        <v>Europe</v>
      </c>
      <c r="I183" s="436">
        <f t="shared" si="7"/>
        <v>2.6955722747597277</v>
      </c>
    </row>
    <row r="184" spans="3:9">
      <c r="C184" s="446" t="s">
        <v>509</v>
      </c>
      <c r="D184" s="444">
        <v>1.1294900000000001</v>
      </c>
      <c r="E184" s="444">
        <f>1/1.12949</f>
        <v>0.88535533736465122</v>
      </c>
      <c r="F184" s="444">
        <v>0.362693298031742</v>
      </c>
      <c r="G184" s="445">
        <f t="shared" si="6"/>
        <v>2.7571504779018072</v>
      </c>
      <c r="H184" t="str">
        <f>VLOOKUP(C184,'11.Region'!$B$22:$E$243,4,FALSE)</f>
        <v>Europe</v>
      </c>
      <c r="I184" s="436">
        <f t="shared" si="7"/>
        <v>2.7571504779018072</v>
      </c>
    </row>
    <row r="185" spans="3:9">
      <c r="C185" s="446" t="s">
        <v>491</v>
      </c>
      <c r="D185" s="444">
        <v>1.1294900000000001</v>
      </c>
      <c r="E185" s="444">
        <v>18.212900000000001</v>
      </c>
      <c r="F185" s="444">
        <v>7.4344814806391604</v>
      </c>
      <c r="G185" s="445">
        <f t="shared" si="6"/>
        <v>2.7670105137219925</v>
      </c>
      <c r="H185" t="str">
        <f>VLOOKUP(C185,'11.Region'!$B$22:$E$243,4,FALSE)</f>
        <v>Europe</v>
      </c>
      <c r="I185" s="436">
        <f t="shared" si="7"/>
        <v>2.7670105137219925</v>
      </c>
    </row>
    <row r="186" spans="3:9">
      <c r="C186" s="446" t="s">
        <v>291</v>
      </c>
      <c r="D186" s="444">
        <v>1.1294900000000001</v>
      </c>
      <c r="E186" s="444">
        <v>1.73217</v>
      </c>
      <c r="F186" s="444">
        <v>0.69823686009804897</v>
      </c>
      <c r="G186" s="445">
        <f t="shared" si="6"/>
        <v>2.8020129057999972</v>
      </c>
      <c r="H186" t="str">
        <f>VLOOKUP(C186,'11.Region'!$B$22:$E$243,4,FALSE)</f>
        <v>Europe</v>
      </c>
      <c r="I186" s="436">
        <f t="shared" si="7"/>
        <v>2.8020129057999972</v>
      </c>
    </row>
    <row r="187" spans="3:9">
      <c r="C187" s="446" t="s">
        <v>285</v>
      </c>
      <c r="D187" s="444">
        <v>1.1294900000000001</v>
      </c>
      <c r="E187" s="444">
        <v>1.72845</v>
      </c>
      <c r="F187" s="444">
        <v>0.68565121252236705</v>
      </c>
      <c r="G187" s="445">
        <f t="shared" si="6"/>
        <v>2.8473179290648658</v>
      </c>
      <c r="H187" t="str">
        <f>VLOOKUP(C187,'11.Region'!$B$22:$E$243,4,FALSE)</f>
        <v>Europe</v>
      </c>
      <c r="I187" s="436">
        <f t="shared" si="7"/>
        <v>2.8473179290648658</v>
      </c>
    </row>
    <row r="188" spans="3:9">
      <c r="C188" s="446" t="s">
        <v>599</v>
      </c>
      <c r="D188" s="444">
        <v>1.1294900000000001</v>
      </c>
      <c r="E188" s="444">
        <v>107.40031999999999</v>
      </c>
      <c r="F188" s="444">
        <v>42.132570081901598</v>
      </c>
      <c r="G188" s="445">
        <f t="shared" si="6"/>
        <v>2.879187934678324</v>
      </c>
      <c r="H188" t="str">
        <f>VLOOKUP(C188,'11.Region'!$B$22:$E$243,4,FALSE)</f>
        <v>Europe</v>
      </c>
      <c r="I188" s="436">
        <f t="shared" si="7"/>
        <v>2.879187934678324</v>
      </c>
    </row>
    <row r="189" spans="3:9">
      <c r="C189" s="446" t="s">
        <v>253</v>
      </c>
      <c r="D189" s="444">
        <v>1.1294900000000001</v>
      </c>
      <c r="E189" s="444">
        <v>117.69137000000001</v>
      </c>
      <c r="F189" s="444">
        <v>44.960649394102497</v>
      </c>
      <c r="G189" s="445">
        <f t="shared" si="6"/>
        <v>2.9566126666919685</v>
      </c>
      <c r="H189" t="str">
        <f>VLOOKUP(C189,'11.Region'!$B$22:$E$243,4,FALSE)</f>
        <v>Europe</v>
      </c>
      <c r="I189" s="436">
        <f t="shared" si="7"/>
        <v>2.9566126666919685</v>
      </c>
    </row>
    <row r="190" spans="3:9">
      <c r="C190" s="446" t="s">
        <v>501</v>
      </c>
      <c r="D190" s="444">
        <v>1.1294900000000001</v>
      </c>
      <c r="E190" s="444">
        <v>54.245579999999997</v>
      </c>
      <c r="F190" s="444">
        <v>19.533615455381799</v>
      </c>
      <c r="G190" s="445">
        <f t="shared" si="6"/>
        <v>3.1366359337907035</v>
      </c>
      <c r="H190" t="str">
        <f>VLOOKUP(C190,'11.Region'!$B$22:$E$243,4,FALSE)</f>
        <v>Europe</v>
      </c>
      <c r="I190" s="436">
        <f t="shared" si="7"/>
        <v>3.1366359337907035</v>
      </c>
    </row>
    <row r="191" spans="3:9">
      <c r="C191" s="446" t="s">
        <v>671</v>
      </c>
      <c r="D191" s="444">
        <v>1.1294900000000001</v>
      </c>
      <c r="E191" s="444">
        <v>1</v>
      </c>
      <c r="F191" s="444">
        <v>0.32131110295593601</v>
      </c>
      <c r="G191" s="445">
        <f t="shared" si="6"/>
        <v>3.5152535645644845</v>
      </c>
      <c r="H191" t="str">
        <f>VLOOKUP(C191,'11.Region'!$B$22:$E$243,4,FALSE)</f>
        <v>Europe</v>
      </c>
      <c r="I191" s="436">
        <f t="shared" si="7"/>
        <v>3.5152535645644845</v>
      </c>
    </row>
    <row r="192" spans="3:9">
      <c r="C192" s="446" t="s">
        <v>649</v>
      </c>
      <c r="D192" s="444">
        <v>1.1294900000000001</v>
      </c>
      <c r="E192" s="444">
        <v>26.407409999999999</v>
      </c>
      <c r="F192" s="444">
        <v>8.1009795591918206</v>
      </c>
      <c r="G192" s="445">
        <f t="shared" si="6"/>
        <v>3.6818887522135197</v>
      </c>
      <c r="H192" t="str">
        <f>VLOOKUP(C192,'11.Region'!$B$22:$E$243,4,FALSE)</f>
        <v>Europe</v>
      </c>
      <c r="I192" s="436">
        <f t="shared" si="7"/>
        <v>3.6818887522135197</v>
      </c>
    </row>
    <row r="193" spans="3:12">
      <c r="C193" s="446" t="s">
        <v>293</v>
      </c>
      <c r="D193" s="444">
        <v>1.1294900000000001</v>
      </c>
      <c r="E193" s="444">
        <v>1.977391353</v>
      </c>
      <c r="F193" s="444">
        <v>0.58703554471002894</v>
      </c>
      <c r="G193" s="445">
        <f t="shared" si="6"/>
        <v>3.8046141829507074</v>
      </c>
      <c r="H193" t="str">
        <f>VLOOKUP(C193,'11.Region'!$B$22:$E$243,4,FALSE)</f>
        <v>Europe</v>
      </c>
      <c r="I193" s="436">
        <f t="shared" si="7"/>
        <v>3.8046141829507074</v>
      </c>
    </row>
    <row r="194" spans="3:12">
      <c r="C194" s="446" t="s">
        <v>256</v>
      </c>
      <c r="D194" s="444">
        <v>1.1294900000000001</v>
      </c>
      <c r="E194" s="444">
        <f>1/1.12949</f>
        <v>0.88535533736465122</v>
      </c>
      <c r="G194" s="445" t="e">
        <f t="shared" si="6"/>
        <v>#DIV/0!</v>
      </c>
      <c r="H194" t="str">
        <f>VLOOKUP(C194,'11.Region'!$B$22:$E$243,4,FALSE)</f>
        <v>Europe</v>
      </c>
      <c r="I194" s="436">
        <f t="shared" ref="I194:I199" si="9">$K$153</f>
        <v>1.9328616451977572</v>
      </c>
      <c r="J194" t="s">
        <v>244</v>
      </c>
    </row>
    <row r="195" spans="3:12">
      <c r="C195" s="446" t="s">
        <v>377</v>
      </c>
      <c r="D195" s="444">
        <v>1.1294900000000001</v>
      </c>
      <c r="G195" s="445" t="e">
        <f t="shared" ref="G195:G258" si="10">D195*E195/F195</f>
        <v>#DIV/0!</v>
      </c>
      <c r="H195" t="str">
        <f>VLOOKUP(C195,'11.Region'!$B$22:$E$243,4,FALSE)</f>
        <v>Europe</v>
      </c>
      <c r="I195" s="436">
        <f t="shared" si="9"/>
        <v>1.9328616451977572</v>
      </c>
      <c r="J195" t="s">
        <v>244</v>
      </c>
    </row>
    <row r="196" spans="3:12">
      <c r="C196" s="446" t="s">
        <v>389</v>
      </c>
      <c r="D196" s="444">
        <v>1.1294900000000001</v>
      </c>
      <c r="G196" s="445" t="e">
        <f t="shared" si="10"/>
        <v>#DIV/0!</v>
      </c>
      <c r="H196" t="str">
        <f>VLOOKUP(C196,'11.Region'!$B$22:$E$243,4,FALSE)</f>
        <v>Europe</v>
      </c>
      <c r="I196" s="436">
        <f t="shared" si="9"/>
        <v>1.9328616451977572</v>
      </c>
      <c r="J196" t="s">
        <v>244</v>
      </c>
    </row>
    <row r="197" spans="3:12">
      <c r="C197" s="446" t="s">
        <v>423</v>
      </c>
      <c r="D197" s="444">
        <v>1.1294900000000001</v>
      </c>
      <c r="G197" s="445" t="e">
        <f t="shared" si="10"/>
        <v>#DIV/0!</v>
      </c>
      <c r="H197" t="str">
        <f>VLOOKUP(C197,'11.Region'!$B$22:$E$243,4,FALSE)</f>
        <v>Europe</v>
      </c>
      <c r="I197" s="436">
        <f t="shared" si="9"/>
        <v>1.9328616451977572</v>
      </c>
      <c r="J197" t="s">
        <v>244</v>
      </c>
    </row>
    <row r="198" spans="3:12">
      <c r="C198" s="446" t="s">
        <v>471</v>
      </c>
      <c r="D198" s="444">
        <v>1.1294900000000001</v>
      </c>
      <c r="G198" s="445" t="e">
        <f t="shared" si="10"/>
        <v>#DIV/0!</v>
      </c>
      <c r="H198" t="str">
        <f>VLOOKUP(C198,'11.Region'!$B$22:$E$243,4,FALSE)</f>
        <v>Europe</v>
      </c>
      <c r="I198" s="436">
        <f t="shared" si="9"/>
        <v>1.9328616451977572</v>
      </c>
      <c r="J198" t="s">
        <v>244</v>
      </c>
    </row>
    <row r="199" spans="3:12">
      <c r="C199" s="446" t="s">
        <v>489</v>
      </c>
      <c r="D199" s="444">
        <v>1.1294900000000001</v>
      </c>
      <c r="E199" s="444">
        <f>1/1.12949</f>
        <v>0.88535533736465122</v>
      </c>
      <c r="G199" s="445" t="e">
        <f t="shared" si="10"/>
        <v>#DIV/0!</v>
      </c>
      <c r="H199" t="str">
        <f>VLOOKUP(C199,'11.Region'!$B$22:$E$243,4,FALSE)</f>
        <v>Europe</v>
      </c>
      <c r="I199" s="436">
        <f t="shared" si="9"/>
        <v>1.9328616451977572</v>
      </c>
      <c r="J199" t="s">
        <v>244</v>
      </c>
    </row>
    <row r="200" spans="3:12">
      <c r="C200" s="446" t="s">
        <v>669</v>
      </c>
      <c r="D200" s="444">
        <v>1.1294900000000001</v>
      </c>
      <c r="E200" s="444">
        <v>1</v>
      </c>
      <c r="F200" s="444">
        <v>1.6425069820888001</v>
      </c>
      <c r="G200" s="445">
        <f t="shared" si="10"/>
        <v>0.68766222141936417</v>
      </c>
      <c r="H200" t="str">
        <f>VLOOKUP(C200,'11.Region'!$B$22:$E$243,4,FALSE)</f>
        <v>Oceania</v>
      </c>
      <c r="I200" s="436">
        <f>G200</f>
        <v>0.68766222141936417</v>
      </c>
      <c r="K200" s="435">
        <f>AVERAGE(G200:G213)</f>
        <v>1.3563308370936336</v>
      </c>
      <c r="L200" s="433" t="s">
        <v>265</v>
      </c>
    </row>
    <row r="201" spans="3:12">
      <c r="C201" s="446" t="s">
        <v>269</v>
      </c>
      <c r="D201" s="444">
        <v>1.1294900000000001</v>
      </c>
      <c r="E201" s="444">
        <v>1.30488</v>
      </c>
      <c r="F201" s="444">
        <v>1.5162249999999999</v>
      </c>
      <c r="G201" s="445">
        <f t="shared" si="10"/>
        <v>0.97205158284555404</v>
      </c>
      <c r="H201" t="str">
        <f>VLOOKUP(C201,'11.Region'!$B$22:$E$243,4,FALSE)</f>
        <v>Oceania</v>
      </c>
      <c r="I201" s="436">
        <f t="shared" ref="I201:I213" si="11">G201</f>
        <v>0.97205158284555404</v>
      </c>
    </row>
    <row r="202" spans="3:12">
      <c r="C202" s="446" t="s">
        <v>543</v>
      </c>
      <c r="D202" s="444">
        <v>1.1294900000000001</v>
      </c>
      <c r="E202" s="444">
        <v>1.40717</v>
      </c>
      <c r="F202" s="444">
        <v>1.477015</v>
      </c>
      <c r="G202" s="445">
        <f t="shared" si="10"/>
        <v>1.0760787421251647</v>
      </c>
      <c r="H202" t="str">
        <f>VLOOKUP(C202,'11.Region'!$B$22:$E$243,4,FALSE)</f>
        <v>Oceania</v>
      </c>
      <c r="I202" s="436">
        <f t="shared" si="11"/>
        <v>1.0760787421251647</v>
      </c>
    </row>
    <row r="203" spans="3:12">
      <c r="C203" s="446" t="s">
        <v>667</v>
      </c>
      <c r="D203" s="444">
        <v>1.1294900000000001</v>
      </c>
      <c r="E203" s="441">
        <v>106.12934</v>
      </c>
      <c r="F203" s="444">
        <v>103.3875398947</v>
      </c>
      <c r="G203" s="445">
        <f t="shared" si="10"/>
        <v>1.1594436656360083</v>
      </c>
      <c r="H203" t="str">
        <f>VLOOKUP(C203,'11.Region'!$B$22:$E$243,4,FALSE)</f>
        <v>Oceania</v>
      </c>
      <c r="I203" s="436">
        <f t="shared" si="11"/>
        <v>1.1594436656360083</v>
      </c>
    </row>
    <row r="204" spans="3:12">
      <c r="C204" s="446" t="s">
        <v>555</v>
      </c>
      <c r="D204" s="444">
        <v>1.1294900000000001</v>
      </c>
      <c r="E204" s="444">
        <v>1</v>
      </c>
      <c r="F204" s="444">
        <v>0.92303608227507905</v>
      </c>
      <c r="G204" s="445">
        <f t="shared" si="10"/>
        <v>1.2236683068944152</v>
      </c>
      <c r="H204" t="str">
        <f>VLOOKUP(C204,'11.Region'!$B$22:$E$243,4,FALSE)</f>
        <v>Oceania</v>
      </c>
      <c r="I204" s="436">
        <f t="shared" si="11"/>
        <v>1.2236683068944152</v>
      </c>
    </row>
    <row r="205" spans="3:12">
      <c r="C205" s="446" t="s">
        <v>589</v>
      </c>
      <c r="D205" s="444">
        <v>1.1294900000000001</v>
      </c>
      <c r="E205" s="444">
        <v>7.6467200000000002</v>
      </c>
      <c r="F205" s="444">
        <v>6.9439924666351001</v>
      </c>
      <c r="G205" s="445">
        <f t="shared" si="10"/>
        <v>1.2437936553501536</v>
      </c>
      <c r="H205" t="str">
        <f>VLOOKUP(C205,'11.Region'!$B$22:$E$243,4,FALSE)</f>
        <v>Oceania</v>
      </c>
      <c r="I205" s="436">
        <f t="shared" si="11"/>
        <v>1.2437936553501536</v>
      </c>
    </row>
    <row r="206" spans="3:12">
      <c r="C206" s="446" t="s">
        <v>643</v>
      </c>
      <c r="D206" s="444">
        <v>1.1294900000000001</v>
      </c>
      <c r="E206" s="444">
        <v>1.30488</v>
      </c>
      <c r="F206" s="444">
        <v>1.1716538637777101</v>
      </c>
      <c r="G206" s="445">
        <f t="shared" si="10"/>
        <v>1.2579217777236158</v>
      </c>
      <c r="H206" t="str">
        <f>VLOOKUP(C206,'11.Region'!$B$22:$E$243,4,FALSE)</f>
        <v>Oceania</v>
      </c>
      <c r="I206" s="436">
        <f t="shared" si="11"/>
        <v>1.2579217777236158</v>
      </c>
    </row>
    <row r="207" spans="3:12">
      <c r="C207" s="446" t="s">
        <v>499</v>
      </c>
      <c r="D207" s="444">
        <v>1.1294900000000001</v>
      </c>
      <c r="E207" s="444">
        <v>1</v>
      </c>
      <c r="F207" s="444">
        <v>0.89513946628815699</v>
      </c>
      <c r="G207" s="445">
        <f t="shared" si="10"/>
        <v>1.2618033753819571</v>
      </c>
      <c r="H207" t="str">
        <f>VLOOKUP(C207,'11.Region'!$B$22:$E$243,4,FALSE)</f>
        <v>Oceania</v>
      </c>
      <c r="I207" s="436">
        <f t="shared" si="11"/>
        <v>1.2618033753819571</v>
      </c>
    </row>
    <row r="208" spans="3:12">
      <c r="C208" s="446" t="s">
        <v>379</v>
      </c>
      <c r="D208" s="444">
        <v>1.1294900000000001</v>
      </c>
      <c r="E208" s="444">
        <v>1</v>
      </c>
      <c r="F208" s="444">
        <v>0.87997378175783803</v>
      </c>
      <c r="G208" s="445">
        <f t="shared" si="10"/>
        <v>1.2835496050163311</v>
      </c>
      <c r="H208" t="str">
        <f>VLOOKUP(C208,'11.Region'!$B$22:$E$243,4,FALSE)</f>
        <v>Oceania</v>
      </c>
      <c r="I208" s="436">
        <f t="shared" si="11"/>
        <v>1.2835496050163311</v>
      </c>
    </row>
    <row r="209" spans="3:10">
      <c r="C209" s="446" t="s">
        <v>453</v>
      </c>
      <c r="D209" s="444">
        <v>1.1294900000000001</v>
      </c>
      <c r="E209" s="444">
        <v>1.30488</v>
      </c>
      <c r="F209" s="444">
        <v>1.0109475419466101</v>
      </c>
      <c r="G209" s="445">
        <f t="shared" si="10"/>
        <v>1.4578886144399337</v>
      </c>
      <c r="H209" t="str">
        <f>VLOOKUP(C209,'11.Region'!$B$22:$E$243,4,FALSE)</f>
        <v>Oceania</v>
      </c>
      <c r="I209" s="436">
        <f t="shared" si="11"/>
        <v>1.4578886144399337</v>
      </c>
    </row>
    <row r="210" spans="3:10">
      <c r="C210" s="446" t="s">
        <v>635</v>
      </c>
      <c r="D210" s="444">
        <v>1.1294900000000001</v>
      </c>
      <c r="E210" s="444">
        <v>2.26634</v>
      </c>
      <c r="F210" s="444">
        <v>1.4637274466746699</v>
      </c>
      <c r="G210" s="445">
        <f t="shared" si="10"/>
        <v>1.7488285625957432</v>
      </c>
      <c r="H210" t="str">
        <f>VLOOKUP(C210,'11.Region'!$B$22:$E$243,4,FALSE)</f>
        <v>Oceania</v>
      </c>
      <c r="I210" s="436">
        <f t="shared" si="11"/>
        <v>1.7488285625957432</v>
      </c>
    </row>
    <row r="211" spans="3:10">
      <c r="C211" s="446" t="s">
        <v>557</v>
      </c>
      <c r="D211" s="444">
        <v>1.1294900000000001</v>
      </c>
      <c r="E211" s="444">
        <v>3.12514</v>
      </c>
      <c r="F211" s="444">
        <v>1.9417440991797701</v>
      </c>
      <c r="G211" s="445">
        <f t="shared" si="10"/>
        <v>1.8178576569853162</v>
      </c>
      <c r="H211" t="str">
        <f>VLOOKUP(C211,'11.Region'!$B$22:$E$243,4,FALSE)</f>
        <v>Oceania</v>
      </c>
      <c r="I211" s="436">
        <f t="shared" si="11"/>
        <v>1.8178576569853162</v>
      </c>
    </row>
    <row r="212" spans="3:10">
      <c r="C212" s="446" t="s">
        <v>541</v>
      </c>
      <c r="D212" s="444">
        <v>1.1294900000000001</v>
      </c>
      <c r="E212" s="444">
        <v>1.30488</v>
      </c>
      <c r="F212" s="444">
        <v>0.78142720066812399</v>
      </c>
      <c r="G212" s="445">
        <f t="shared" si="10"/>
        <v>1.8860988073359262</v>
      </c>
      <c r="H212" t="str">
        <f>VLOOKUP(C212,'11.Region'!$B$22:$E$243,4,FALSE)</f>
        <v>Oceania</v>
      </c>
      <c r="I212" s="436">
        <f t="shared" si="11"/>
        <v>1.8860988073359262</v>
      </c>
    </row>
    <row r="213" spans="3:10">
      <c r="C213" s="446" t="s">
        <v>373</v>
      </c>
      <c r="D213" s="444">
        <v>1.1294900000000001</v>
      </c>
      <c r="E213" s="444">
        <v>2.0467900000000001</v>
      </c>
      <c r="F213" s="444">
        <v>1.20912489433657</v>
      </c>
      <c r="G213" s="445">
        <f t="shared" si="10"/>
        <v>1.9119851455613843</v>
      </c>
      <c r="H213" t="str">
        <f>VLOOKUP(C213,'11.Region'!$B$22:$E$243,4,FALSE)</f>
        <v>Oceania</v>
      </c>
      <c r="I213" s="436">
        <f t="shared" si="11"/>
        <v>1.9119851455613843</v>
      </c>
    </row>
    <row r="214" spans="3:10">
      <c r="C214" s="446" t="s">
        <v>264</v>
      </c>
      <c r="D214" s="444">
        <v>1.1294900000000001</v>
      </c>
      <c r="E214" s="444">
        <v>1</v>
      </c>
      <c r="G214" s="445" t="e">
        <f t="shared" si="10"/>
        <v>#DIV/0!</v>
      </c>
      <c r="H214" t="str">
        <f>VLOOKUP(C214,'11.Region'!$B$22:$E$243,4,FALSE)</f>
        <v>Oceania</v>
      </c>
      <c r="I214" s="436">
        <f>$K$200</f>
        <v>1.3563308370936336</v>
      </c>
      <c r="J214" t="s">
        <v>244</v>
      </c>
    </row>
    <row r="215" spans="3:10">
      <c r="C215" s="446" t="s">
        <v>407</v>
      </c>
      <c r="D215" s="444">
        <v>1.1294900000000001</v>
      </c>
      <c r="G215" s="445" t="e">
        <f t="shared" si="10"/>
        <v>#DIV/0!</v>
      </c>
      <c r="H215" t="str">
        <f>VLOOKUP(C215,'11.Region'!$B$22:$E$243,4,FALSE)</f>
        <v>Oceania</v>
      </c>
      <c r="I215" s="436">
        <f>$K$200</f>
        <v>1.3563308370936336</v>
      </c>
      <c r="J215" t="s">
        <v>244</v>
      </c>
    </row>
    <row r="216" spans="3:10">
      <c r="C216" s="446" t="s">
        <v>513</v>
      </c>
      <c r="D216" s="444">
        <v>1.1294900000000001</v>
      </c>
      <c r="G216" s="445" t="e">
        <f t="shared" si="10"/>
        <v>#DIV/0!</v>
      </c>
      <c r="H216" t="str">
        <f>VLOOKUP(C216,'11.Region'!$B$22:$E$243,4,FALSE)</f>
        <v>Oceania</v>
      </c>
      <c r="I216" s="436">
        <f>$K$200</f>
        <v>1.3563308370936336</v>
      </c>
      <c r="J216" t="s">
        <v>244</v>
      </c>
    </row>
    <row r="217" spans="3:10">
      <c r="C217" s="446" t="s">
        <v>527</v>
      </c>
      <c r="D217" s="444">
        <v>1.1294900000000001</v>
      </c>
      <c r="G217" s="445" t="e">
        <f t="shared" si="10"/>
        <v>#DIV/0!</v>
      </c>
      <c r="H217" t="str">
        <f>VLOOKUP(C217,'11.Region'!$B$22:$E$243,4,FALSE)</f>
        <v>Oceania</v>
      </c>
      <c r="I217" s="436">
        <f>$K$200</f>
        <v>1.3563308370936336</v>
      </c>
      <c r="J217" t="s">
        <v>244</v>
      </c>
    </row>
    <row r="218" spans="3:10">
      <c r="C218" s="446" t="s">
        <v>571</v>
      </c>
      <c r="D218" s="444">
        <v>1.1294900000000001</v>
      </c>
      <c r="G218" s="445" t="e">
        <f t="shared" si="10"/>
        <v>#DIV/0!</v>
      </c>
      <c r="H218" t="str">
        <f>VLOOKUP(C218,'11.Region'!$B$22:$E$243,4,FALSE)</f>
        <v>Oceania</v>
      </c>
      <c r="I218" s="436">
        <f>$K$200</f>
        <v>1.3563308370936336</v>
      </c>
      <c r="J218" t="s">
        <v>244</v>
      </c>
    </row>
    <row r="219" spans="3:10">
      <c r="C219" s="446" t="s">
        <v>3136</v>
      </c>
      <c r="D219" s="444">
        <v>1.1294900000000001</v>
      </c>
      <c r="G219" s="445" t="e">
        <f t="shared" si="10"/>
        <v>#DIV/0!</v>
      </c>
      <c r="H219" t="e">
        <f>VLOOKUP(C219,'11.Region'!$B$22:$E$243,4,FALSE)</f>
        <v>#N/A</v>
      </c>
    </row>
    <row r="220" spans="3:10">
      <c r="C220" s="446" t="s">
        <v>3137</v>
      </c>
      <c r="D220" s="444">
        <v>1.1294900000000001</v>
      </c>
      <c r="G220" s="445" t="e">
        <f t="shared" si="10"/>
        <v>#DIV/0!</v>
      </c>
      <c r="H220" t="e">
        <f>VLOOKUP(C220,'11.Region'!$B$22:$E$243,4,FALSE)</f>
        <v>#N/A</v>
      </c>
    </row>
    <row r="221" spans="3:10">
      <c r="C221" s="446" t="s">
        <v>3138</v>
      </c>
      <c r="D221" s="444">
        <v>1.1294900000000001</v>
      </c>
      <c r="G221" s="445" t="e">
        <f t="shared" si="10"/>
        <v>#DIV/0!</v>
      </c>
      <c r="H221" t="e">
        <f>VLOOKUP(C221,'11.Region'!$B$22:$E$243,4,FALSE)</f>
        <v>#N/A</v>
      </c>
    </row>
    <row r="222" spans="3:10">
      <c r="C222" s="446" t="s">
        <v>3139</v>
      </c>
      <c r="D222" s="444">
        <v>1.1294900000000001</v>
      </c>
      <c r="G222" s="445" t="e">
        <f t="shared" si="10"/>
        <v>#DIV/0!</v>
      </c>
      <c r="H222" t="e">
        <f>VLOOKUP(C222,'11.Region'!$B$22:$E$243,4,FALSE)</f>
        <v>#N/A</v>
      </c>
    </row>
    <row r="223" spans="3:10">
      <c r="C223" s="446" t="s">
        <v>3140</v>
      </c>
      <c r="D223" s="444">
        <v>1.1294900000000001</v>
      </c>
      <c r="G223" s="445" t="e">
        <f t="shared" si="10"/>
        <v>#DIV/0!</v>
      </c>
      <c r="H223" t="e">
        <f>VLOOKUP(C223,'11.Region'!$B$22:$E$243,4,FALSE)</f>
        <v>#N/A</v>
      </c>
    </row>
    <row r="224" spans="3:10">
      <c r="C224" s="446" t="s">
        <v>3141</v>
      </c>
      <c r="D224" s="444">
        <v>1.1294900000000001</v>
      </c>
      <c r="G224" s="445" t="e">
        <f t="shared" si="10"/>
        <v>#DIV/0!</v>
      </c>
      <c r="H224" t="e">
        <f>VLOOKUP(C224,'11.Region'!$B$22:$E$243,4,FALSE)</f>
        <v>#N/A</v>
      </c>
    </row>
    <row r="225" spans="3:8">
      <c r="C225" s="446" t="s">
        <v>3142</v>
      </c>
      <c r="D225" s="444">
        <v>1.1294900000000001</v>
      </c>
      <c r="G225" s="445" t="e">
        <f t="shared" si="10"/>
        <v>#DIV/0!</v>
      </c>
      <c r="H225" t="e">
        <f>VLOOKUP(C225,'11.Region'!$B$22:$E$243,4,FALSE)</f>
        <v>#N/A</v>
      </c>
    </row>
    <row r="226" spans="3:8">
      <c r="C226" s="446" t="s">
        <v>3143</v>
      </c>
      <c r="D226" s="444">
        <v>1.1294900000000001</v>
      </c>
      <c r="G226" s="445" t="e">
        <f t="shared" si="10"/>
        <v>#DIV/0!</v>
      </c>
      <c r="H226" t="e">
        <f>VLOOKUP(C226,'11.Region'!$B$22:$E$243,4,FALSE)</f>
        <v>#N/A</v>
      </c>
    </row>
    <row r="227" spans="3:8">
      <c r="C227" s="446" t="s">
        <v>3144</v>
      </c>
      <c r="D227" s="444">
        <v>1.1294900000000001</v>
      </c>
      <c r="G227" s="445" t="e">
        <f t="shared" si="10"/>
        <v>#DIV/0!</v>
      </c>
      <c r="H227" t="e">
        <f>VLOOKUP(C227,'11.Region'!$B$22:$E$243,4,FALSE)</f>
        <v>#N/A</v>
      </c>
    </row>
    <row r="228" spans="3:8">
      <c r="C228" s="446" t="s">
        <v>3145</v>
      </c>
      <c r="D228" s="444">
        <v>1.1294900000000001</v>
      </c>
      <c r="G228" s="445" t="e">
        <f t="shared" si="10"/>
        <v>#DIV/0!</v>
      </c>
      <c r="H228" t="e">
        <f>VLOOKUP(C228,'11.Region'!$B$22:$E$243,4,FALSE)</f>
        <v>#N/A</v>
      </c>
    </row>
    <row r="229" spans="3:8">
      <c r="C229" s="446" t="s">
        <v>3146</v>
      </c>
      <c r="D229" s="444">
        <v>1.1294900000000001</v>
      </c>
      <c r="G229" s="445" t="e">
        <f t="shared" si="10"/>
        <v>#DIV/0!</v>
      </c>
      <c r="H229" t="e">
        <f>VLOOKUP(C229,'11.Region'!$B$22:$E$243,4,FALSE)</f>
        <v>#N/A</v>
      </c>
    </row>
    <row r="230" spans="3:8">
      <c r="C230" s="446" t="s">
        <v>3147</v>
      </c>
      <c r="D230" s="444">
        <v>1.1294900000000001</v>
      </c>
      <c r="G230" s="445" t="e">
        <f t="shared" si="10"/>
        <v>#DIV/0!</v>
      </c>
      <c r="H230" t="e">
        <f>VLOOKUP(C230,'11.Region'!$B$22:$E$243,4,FALSE)</f>
        <v>#N/A</v>
      </c>
    </row>
    <row r="231" spans="3:8">
      <c r="C231" s="446" t="s">
        <v>3148</v>
      </c>
      <c r="D231" s="444">
        <v>1.1294900000000001</v>
      </c>
      <c r="G231" s="445" t="e">
        <f t="shared" si="10"/>
        <v>#DIV/0!</v>
      </c>
      <c r="H231" t="e">
        <f>VLOOKUP(C231,'11.Region'!$B$22:$E$243,4,FALSE)</f>
        <v>#N/A</v>
      </c>
    </row>
    <row r="232" spans="3:8">
      <c r="C232" s="446" t="s">
        <v>3149</v>
      </c>
      <c r="D232" s="444">
        <v>1.1294900000000001</v>
      </c>
      <c r="G232" s="445" t="e">
        <f t="shared" si="10"/>
        <v>#DIV/0!</v>
      </c>
      <c r="H232" t="e">
        <f>VLOOKUP(C232,'11.Region'!$B$22:$E$243,4,FALSE)</f>
        <v>#N/A</v>
      </c>
    </row>
    <row r="233" spans="3:8">
      <c r="C233" s="446" t="s">
        <v>3150</v>
      </c>
      <c r="D233" s="444">
        <v>1.1294900000000001</v>
      </c>
      <c r="G233" s="445" t="e">
        <f t="shared" si="10"/>
        <v>#DIV/0!</v>
      </c>
      <c r="H233" t="e">
        <f>VLOOKUP(C233,'11.Region'!$B$22:$E$243,4,FALSE)</f>
        <v>#N/A</v>
      </c>
    </row>
    <row r="234" spans="3:8">
      <c r="C234" s="446" t="s">
        <v>3151</v>
      </c>
      <c r="D234" s="444">
        <v>1.1294900000000001</v>
      </c>
      <c r="G234" s="445" t="e">
        <f t="shared" si="10"/>
        <v>#DIV/0!</v>
      </c>
      <c r="H234" t="e">
        <f>VLOOKUP(C234,'11.Region'!$B$22:$E$243,4,FALSE)</f>
        <v>#N/A</v>
      </c>
    </row>
    <row r="235" spans="3:8">
      <c r="C235" s="446" t="s">
        <v>3152</v>
      </c>
      <c r="D235" s="444">
        <v>1.1294900000000001</v>
      </c>
      <c r="G235" s="445" t="e">
        <f t="shared" si="10"/>
        <v>#DIV/0!</v>
      </c>
      <c r="H235" t="e">
        <f>VLOOKUP(C235,'11.Region'!$B$22:$E$243,4,FALSE)</f>
        <v>#N/A</v>
      </c>
    </row>
    <row r="236" spans="3:8">
      <c r="C236" s="446" t="s">
        <v>3153</v>
      </c>
      <c r="D236" s="444">
        <v>1.1294900000000001</v>
      </c>
      <c r="G236" s="445" t="e">
        <f t="shared" si="10"/>
        <v>#DIV/0!</v>
      </c>
      <c r="H236" t="e">
        <f>VLOOKUP(C236,'11.Region'!$B$22:$E$243,4,FALSE)</f>
        <v>#N/A</v>
      </c>
    </row>
    <row r="237" spans="3:8">
      <c r="C237" s="446" t="s">
        <v>3154</v>
      </c>
      <c r="D237" s="444">
        <v>1.1294900000000001</v>
      </c>
      <c r="G237" s="445" t="e">
        <f t="shared" si="10"/>
        <v>#DIV/0!</v>
      </c>
      <c r="H237" t="e">
        <f>VLOOKUP(C237,'11.Region'!$B$22:$E$243,4,FALSE)</f>
        <v>#N/A</v>
      </c>
    </row>
    <row r="238" spans="3:8">
      <c r="C238" s="446" t="s">
        <v>3155</v>
      </c>
      <c r="D238" s="444">
        <v>1.1294900000000001</v>
      </c>
      <c r="G238" s="445" t="e">
        <f t="shared" si="10"/>
        <v>#DIV/0!</v>
      </c>
      <c r="H238" t="e">
        <f>VLOOKUP(C238,'11.Region'!$B$22:$E$243,4,FALSE)</f>
        <v>#N/A</v>
      </c>
    </row>
    <row r="239" spans="3:8">
      <c r="C239" s="446" t="s">
        <v>3156</v>
      </c>
      <c r="D239" s="444">
        <v>1.1294900000000001</v>
      </c>
      <c r="G239" s="445" t="e">
        <f t="shared" si="10"/>
        <v>#DIV/0!</v>
      </c>
      <c r="H239" t="e">
        <f>VLOOKUP(C239,'11.Region'!$B$22:$E$243,4,FALSE)</f>
        <v>#N/A</v>
      </c>
    </row>
    <row r="240" spans="3:8">
      <c r="C240" s="446" t="s">
        <v>3157</v>
      </c>
      <c r="D240" s="444">
        <v>1.1294900000000001</v>
      </c>
      <c r="G240" s="445" t="e">
        <f t="shared" si="10"/>
        <v>#DIV/0!</v>
      </c>
      <c r="H240" t="e">
        <f>VLOOKUP(C240,'11.Region'!$B$22:$E$243,4,FALSE)</f>
        <v>#N/A</v>
      </c>
    </row>
    <row r="241" spans="3:8">
      <c r="C241" s="446" t="s">
        <v>3158</v>
      </c>
      <c r="D241" s="444">
        <v>1.1294900000000001</v>
      </c>
      <c r="G241" s="445" t="e">
        <f t="shared" si="10"/>
        <v>#DIV/0!</v>
      </c>
      <c r="H241" t="e">
        <f>VLOOKUP(C241,'11.Region'!$B$22:$E$243,4,FALSE)</f>
        <v>#N/A</v>
      </c>
    </row>
    <row r="242" spans="3:8">
      <c r="C242" s="446" t="s">
        <v>3159</v>
      </c>
      <c r="D242" s="444">
        <v>1.1294900000000001</v>
      </c>
      <c r="G242" s="445" t="e">
        <f t="shared" si="10"/>
        <v>#DIV/0!</v>
      </c>
      <c r="H242" t="e">
        <f>VLOOKUP(C242,'11.Region'!$B$22:$E$243,4,FALSE)</f>
        <v>#N/A</v>
      </c>
    </row>
    <row r="243" spans="3:8">
      <c r="C243" s="446" t="s">
        <v>3160</v>
      </c>
      <c r="D243" s="444">
        <v>1.1294900000000001</v>
      </c>
      <c r="G243" s="445" t="e">
        <f t="shared" si="10"/>
        <v>#DIV/0!</v>
      </c>
      <c r="H243" t="e">
        <f>VLOOKUP(C243,'11.Region'!$B$22:$E$243,4,FALSE)</f>
        <v>#N/A</v>
      </c>
    </row>
    <row r="244" spans="3:8">
      <c r="C244" s="446" t="s">
        <v>3161</v>
      </c>
      <c r="D244" s="444">
        <v>1.1294900000000001</v>
      </c>
      <c r="G244" s="445" t="e">
        <f t="shared" si="10"/>
        <v>#DIV/0!</v>
      </c>
      <c r="H244" t="e">
        <f>VLOOKUP(C244,'11.Region'!$B$22:$E$243,4,FALSE)</f>
        <v>#N/A</v>
      </c>
    </row>
    <row r="245" spans="3:8">
      <c r="C245" s="446" t="s">
        <v>3162</v>
      </c>
      <c r="D245" s="444">
        <v>1.1294900000000001</v>
      </c>
      <c r="G245" s="445" t="e">
        <f t="shared" si="10"/>
        <v>#DIV/0!</v>
      </c>
      <c r="H245" t="e">
        <f>VLOOKUP(C245,'11.Region'!$B$22:$E$243,4,FALSE)</f>
        <v>#N/A</v>
      </c>
    </row>
    <row r="246" spans="3:8">
      <c r="C246" s="446" t="s">
        <v>3163</v>
      </c>
      <c r="D246" s="444">
        <v>1.1294900000000001</v>
      </c>
      <c r="G246" s="445" t="e">
        <f t="shared" si="10"/>
        <v>#DIV/0!</v>
      </c>
      <c r="H246" t="e">
        <f>VLOOKUP(C246,'11.Region'!$B$22:$E$243,4,FALSE)</f>
        <v>#N/A</v>
      </c>
    </row>
    <row r="247" spans="3:8">
      <c r="C247" s="446" t="s">
        <v>3164</v>
      </c>
      <c r="D247" s="444">
        <v>1.1294900000000001</v>
      </c>
      <c r="G247" s="445" t="e">
        <f t="shared" si="10"/>
        <v>#DIV/0!</v>
      </c>
      <c r="H247" t="e">
        <f>VLOOKUP(C247,'11.Region'!$B$22:$E$243,4,FALSE)</f>
        <v>#N/A</v>
      </c>
    </row>
    <row r="248" spans="3:8">
      <c r="C248" s="446" t="s">
        <v>3165</v>
      </c>
      <c r="D248" s="444">
        <v>1.1294900000000001</v>
      </c>
      <c r="G248" s="445" t="e">
        <f t="shared" si="10"/>
        <v>#DIV/0!</v>
      </c>
      <c r="H248" t="e">
        <f>VLOOKUP(C248,'11.Region'!$B$22:$E$243,4,FALSE)</f>
        <v>#N/A</v>
      </c>
    </row>
    <row r="249" spans="3:8">
      <c r="C249" s="446" t="s">
        <v>3166</v>
      </c>
      <c r="D249" s="444">
        <v>1.1294900000000001</v>
      </c>
      <c r="G249" s="445" t="e">
        <f t="shared" si="10"/>
        <v>#DIV/0!</v>
      </c>
      <c r="H249" t="e">
        <f>VLOOKUP(C249,'11.Region'!$B$22:$E$243,4,FALSE)</f>
        <v>#N/A</v>
      </c>
    </row>
    <row r="250" spans="3:8">
      <c r="C250" s="446" t="s">
        <v>3167</v>
      </c>
      <c r="D250" s="444">
        <v>1.1294900000000001</v>
      </c>
      <c r="G250" s="445" t="e">
        <f t="shared" si="10"/>
        <v>#DIV/0!</v>
      </c>
      <c r="H250" t="e">
        <f>VLOOKUP(C250,'11.Region'!$B$22:$E$243,4,FALSE)</f>
        <v>#N/A</v>
      </c>
    </row>
    <row r="251" spans="3:8">
      <c r="C251" s="446" t="s">
        <v>3168</v>
      </c>
      <c r="D251" s="444">
        <v>1.1294900000000001</v>
      </c>
      <c r="G251" s="445" t="e">
        <f t="shared" si="10"/>
        <v>#DIV/0!</v>
      </c>
      <c r="H251" t="e">
        <f>VLOOKUP(C251,'11.Region'!$B$22:$E$243,4,FALSE)</f>
        <v>#N/A</v>
      </c>
    </row>
    <row r="252" spans="3:8">
      <c r="C252" s="446" t="s">
        <v>3169</v>
      </c>
      <c r="D252" s="444">
        <v>1.1294900000000001</v>
      </c>
      <c r="G252" s="445" t="e">
        <f t="shared" si="10"/>
        <v>#DIV/0!</v>
      </c>
      <c r="H252" t="e">
        <f>VLOOKUP(C252,'11.Region'!$B$22:$E$243,4,FALSE)</f>
        <v>#N/A</v>
      </c>
    </row>
    <row r="253" spans="3:8">
      <c r="C253" s="446" t="s">
        <v>3170</v>
      </c>
      <c r="D253" s="444">
        <v>1.1294900000000001</v>
      </c>
      <c r="G253" s="445" t="e">
        <f t="shared" si="10"/>
        <v>#DIV/0!</v>
      </c>
      <c r="H253" t="e">
        <f>VLOOKUP(C253,'11.Region'!$B$22:$E$243,4,FALSE)</f>
        <v>#N/A</v>
      </c>
    </row>
    <row r="254" spans="3:8">
      <c r="C254" s="446" t="s">
        <v>3171</v>
      </c>
      <c r="D254" s="444">
        <v>1.1294900000000001</v>
      </c>
      <c r="G254" s="445" t="e">
        <f t="shared" si="10"/>
        <v>#DIV/0!</v>
      </c>
      <c r="H254" t="e">
        <f>VLOOKUP(C254,'11.Region'!$B$22:$E$243,4,FALSE)</f>
        <v>#N/A</v>
      </c>
    </row>
    <row r="255" spans="3:8">
      <c r="C255" s="446" t="s">
        <v>3172</v>
      </c>
      <c r="D255" s="444">
        <v>1.1294900000000001</v>
      </c>
      <c r="G255" s="445" t="e">
        <f t="shared" si="10"/>
        <v>#DIV/0!</v>
      </c>
      <c r="H255" t="e">
        <f>VLOOKUP(C255,'11.Region'!$B$22:$E$243,4,FALSE)</f>
        <v>#N/A</v>
      </c>
    </row>
    <row r="256" spans="3:8">
      <c r="C256" s="446" t="s">
        <v>3173</v>
      </c>
      <c r="D256" s="444">
        <v>1.1294900000000001</v>
      </c>
      <c r="G256" s="445" t="e">
        <f t="shared" si="10"/>
        <v>#DIV/0!</v>
      </c>
      <c r="H256" t="e">
        <f>VLOOKUP(C256,'11.Region'!$B$22:$E$243,4,FALSE)</f>
        <v>#N/A</v>
      </c>
    </row>
    <row r="257" spans="3:8">
      <c r="C257" s="446" t="s">
        <v>3174</v>
      </c>
      <c r="D257" s="444">
        <v>1.1294900000000001</v>
      </c>
      <c r="G257" s="445" t="e">
        <f t="shared" si="10"/>
        <v>#DIV/0!</v>
      </c>
      <c r="H257" t="e">
        <f>VLOOKUP(C257,'11.Region'!$B$22:$E$243,4,FALSE)</f>
        <v>#N/A</v>
      </c>
    </row>
    <row r="258" spans="3:8">
      <c r="C258" s="446" t="s">
        <v>3175</v>
      </c>
      <c r="D258" s="444">
        <v>1.1294900000000001</v>
      </c>
      <c r="G258" s="445" t="e">
        <f t="shared" si="10"/>
        <v>#DIV/0!</v>
      </c>
      <c r="H258" t="e">
        <f>VLOOKUP(C258,'11.Region'!$B$22:$E$243,4,FALSE)</f>
        <v>#N/A</v>
      </c>
    </row>
    <row r="259" spans="3:8">
      <c r="C259" s="446" t="s">
        <v>3176</v>
      </c>
      <c r="D259" s="444">
        <v>1.1294900000000001</v>
      </c>
      <c r="G259" s="445" t="e">
        <f t="shared" ref="G259:G266" si="12">D259*E259/F259</f>
        <v>#DIV/0!</v>
      </c>
      <c r="H259" t="e">
        <f>VLOOKUP(C259,'11.Region'!$B$22:$E$243,4,FALSE)</f>
        <v>#N/A</v>
      </c>
    </row>
    <row r="260" spans="3:8">
      <c r="C260" s="446" t="s">
        <v>3177</v>
      </c>
      <c r="D260" s="444">
        <v>1.1294900000000001</v>
      </c>
      <c r="G260" s="445" t="e">
        <f t="shared" si="12"/>
        <v>#DIV/0!</v>
      </c>
      <c r="H260" t="e">
        <f>VLOOKUP(C260,'11.Region'!$B$22:$E$243,4,FALSE)</f>
        <v>#N/A</v>
      </c>
    </row>
    <row r="261" spans="3:8">
      <c r="C261" s="446" t="s">
        <v>3178</v>
      </c>
      <c r="D261" s="444">
        <v>1.1294900000000001</v>
      </c>
      <c r="G261" s="445" t="e">
        <f t="shared" si="12"/>
        <v>#DIV/0!</v>
      </c>
      <c r="H261" t="e">
        <f>VLOOKUP(C261,'11.Region'!$B$22:$E$243,4,FALSE)</f>
        <v>#N/A</v>
      </c>
    </row>
    <row r="262" spans="3:8">
      <c r="C262" s="446" t="s">
        <v>3179</v>
      </c>
      <c r="D262" s="444">
        <v>1.1294900000000001</v>
      </c>
      <c r="G262" s="445" t="e">
        <f t="shared" si="12"/>
        <v>#DIV/0!</v>
      </c>
      <c r="H262" t="e">
        <f>VLOOKUP(C262,'11.Region'!$B$22:$E$243,4,FALSE)</f>
        <v>#N/A</v>
      </c>
    </row>
    <row r="263" spans="3:8">
      <c r="C263" s="446" t="s">
        <v>3180</v>
      </c>
      <c r="D263" s="444">
        <v>1.1294900000000001</v>
      </c>
      <c r="G263" s="445" t="e">
        <f t="shared" si="12"/>
        <v>#DIV/0!</v>
      </c>
      <c r="H263" t="e">
        <f>VLOOKUP(C263,'11.Region'!$B$22:$E$243,4,FALSE)</f>
        <v>#N/A</v>
      </c>
    </row>
    <row r="264" spans="3:8">
      <c r="C264" s="446" t="s">
        <v>3181</v>
      </c>
      <c r="D264" s="444">
        <v>1.1294900000000001</v>
      </c>
      <c r="G264" s="445" t="e">
        <f t="shared" si="12"/>
        <v>#DIV/0!</v>
      </c>
      <c r="H264" t="e">
        <f>VLOOKUP(C264,'11.Region'!$B$22:$E$243,4,FALSE)</f>
        <v>#N/A</v>
      </c>
    </row>
    <row r="265" spans="3:8">
      <c r="C265" s="446" t="s">
        <v>3182</v>
      </c>
      <c r="D265" s="444">
        <v>1.1294900000000001</v>
      </c>
      <c r="G265" s="445" t="e">
        <f t="shared" si="12"/>
        <v>#DIV/0!</v>
      </c>
      <c r="H265" t="e">
        <f>VLOOKUP(C265,'11.Region'!$B$22:$E$243,4,FALSE)</f>
        <v>#N/A</v>
      </c>
    </row>
    <row r="266" spans="3:8">
      <c r="C266" s="446" t="s">
        <v>686</v>
      </c>
      <c r="D266" s="444">
        <v>1.1294900000000001</v>
      </c>
      <c r="G266" s="445" t="e">
        <f t="shared" si="12"/>
        <v>#DIV/0!</v>
      </c>
      <c r="H266" t="e">
        <f>VLOOKUP(C266,'11.Region'!$B$22:$E$243,4,FALSE)</f>
        <v>#N/A</v>
      </c>
    </row>
    <row r="267" spans="3:8">
      <c r="G267" s="445"/>
    </row>
    <row r="268" spans="3:8">
      <c r="G268" s="445"/>
    </row>
    <row r="269" spans="3:8">
      <c r="G269" s="445"/>
    </row>
    <row r="270" spans="3:8">
      <c r="G270" s="445"/>
    </row>
    <row r="271" spans="3:8">
      <c r="G271" s="445"/>
    </row>
    <row r="272" spans="3:8">
      <c r="G272" s="445"/>
    </row>
    <row r="273" spans="7:7">
      <c r="G273" s="445"/>
    </row>
  </sheetData>
  <sheetProtection algorithmName="SHA-512" hashValue="goSm9MveTHA62rQbVp7cgnvbT12OIJmfPODfpurdPw50hi0pvrPfRgSaE0+6n3Pavht1bSsd0zZgUMlvJYlZiQ==" saltValue="i0BwoAIDBQUPlXZ3oLLBEQ==" spinCount="100000" sheet="1" objects="1" scenarios="1"/>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3"/>
  <dimension ref="A1:M65536"/>
  <sheetViews>
    <sheetView topLeftCell="C198" zoomScale="75" zoomScaleNormal="75" workbookViewId="0">
      <pane ySplit="5220" topLeftCell="A243"/>
      <selection activeCell="H216" sqref="H216"/>
      <selection pane="bottomLeft" activeCell="D243" sqref="D243"/>
    </sheetView>
  </sheetViews>
  <sheetFormatPr baseColWidth="10" defaultColWidth="10.28515625" defaultRowHeight="14.1" customHeight="1"/>
  <cols>
    <col min="1" max="1" width="10.28515625" style="457" customWidth="1"/>
    <col min="2" max="2" width="27.28515625" style="457" customWidth="1"/>
    <col min="3" max="3" width="10.28515625" style="457" customWidth="1"/>
    <col min="4" max="4" width="56.7109375" style="457" customWidth="1"/>
    <col min="5" max="5" width="43" style="457" customWidth="1"/>
    <col min="6" max="6" width="43" style="460" customWidth="1"/>
    <col min="7" max="11" width="43" style="457" customWidth="1"/>
    <col min="12" max="12" width="10.28515625" style="457" customWidth="1"/>
    <col min="13" max="13" width="10.28515625" style="461" customWidth="1"/>
    <col min="14" max="16384" width="10.28515625" style="457"/>
  </cols>
  <sheetData>
    <row r="1" spans="1:11" ht="20.100000000000001" customHeight="1">
      <c r="C1" s="458">
        <f>VLOOKUP('0. Intro'!B1,'12.lan'!B2:C12,2,FALSE)</f>
        <v>3</v>
      </c>
      <c r="D1" s="459">
        <f t="shared" ref="D1:D37" si="0">HLOOKUP($C$1,$E$1:$X$4910,ROW(D1))</f>
        <v>3</v>
      </c>
      <c r="E1" s="457">
        <v>1</v>
      </c>
      <c r="F1" s="460">
        <v>2</v>
      </c>
      <c r="G1" s="457">
        <v>3</v>
      </c>
      <c r="H1" s="457">
        <v>4</v>
      </c>
      <c r="I1" s="457">
        <v>5</v>
      </c>
      <c r="J1" s="457">
        <v>6</v>
      </c>
      <c r="K1" s="457">
        <v>7</v>
      </c>
    </row>
    <row r="2" spans="1:11" ht="14.1" customHeight="1">
      <c r="A2" s="457">
        <v>3</v>
      </c>
      <c r="B2" s="462" t="s">
        <v>3188</v>
      </c>
      <c r="C2" s="457">
        <f>A2</f>
        <v>3</v>
      </c>
      <c r="D2" s="459" t="str">
        <f t="shared" si="0"/>
        <v>English</v>
      </c>
      <c r="E2" s="463" t="s">
        <v>687</v>
      </c>
      <c r="F2" s="463" t="s">
        <v>688</v>
      </c>
      <c r="G2" s="464" t="s">
        <v>689</v>
      </c>
      <c r="H2" s="465" t="s">
        <v>690</v>
      </c>
      <c r="I2" s="463" t="s">
        <v>691</v>
      </c>
      <c r="J2" s="463" t="s">
        <v>692</v>
      </c>
      <c r="K2" s="463" t="s">
        <v>693</v>
      </c>
    </row>
    <row r="3" spans="1:11" ht="14.1" customHeight="1">
      <c r="A3" s="457">
        <v>1</v>
      </c>
      <c r="B3" s="460" t="s">
        <v>687</v>
      </c>
      <c r="C3" s="457">
        <f>A3</f>
        <v>1</v>
      </c>
      <c r="D3" s="459">
        <f t="shared" si="0"/>
        <v>0</v>
      </c>
      <c r="E3" s="460"/>
      <c r="G3" s="466"/>
      <c r="H3" s="460"/>
      <c r="I3" s="460"/>
      <c r="J3" s="460"/>
    </row>
    <row r="4" spans="1:11" ht="15.75" customHeight="1">
      <c r="A4" s="457">
        <v>2</v>
      </c>
      <c r="B4" s="460" t="s">
        <v>688</v>
      </c>
      <c r="C4" s="457">
        <f t="shared" ref="C4:C12" si="1">A4</f>
        <v>2</v>
      </c>
      <c r="D4" s="459" t="str">
        <f t="shared" si="0"/>
        <v>BALANCE SHEET CALCULATOR</v>
      </c>
      <c r="E4" s="460" t="s">
        <v>694</v>
      </c>
      <c r="F4" s="467" t="s">
        <v>695</v>
      </c>
      <c r="G4" s="466" t="s">
        <v>696</v>
      </c>
      <c r="H4" s="460" t="s">
        <v>697</v>
      </c>
      <c r="I4" s="460" t="str">
        <f t="shared" ref="I4:I37" si="2">"[fr]"&amp;E4</f>
        <v>[fr]GEMEINWOHL-RECHNER</v>
      </c>
      <c r="J4" s="460" t="str">
        <f>"[pt]"&amp;E4</f>
        <v>[pt]GEMEINWOHL-RECHNER</v>
      </c>
      <c r="K4" s="460" t="str">
        <f t="shared" ref="K4:K37" si="3">"[gr]"&amp;E4</f>
        <v>[gr]GEMEINWOHL-RECHNER</v>
      </c>
    </row>
    <row r="5" spans="1:11" ht="15.75" customHeight="1">
      <c r="A5" s="457">
        <v>3</v>
      </c>
      <c r="B5" s="460" t="s">
        <v>689</v>
      </c>
      <c r="C5" s="457">
        <f t="shared" si="1"/>
        <v>3</v>
      </c>
      <c r="D5" s="459" t="str">
        <f t="shared" si="0"/>
        <v>© ECG</v>
      </c>
      <c r="E5" s="460" t="s">
        <v>698</v>
      </c>
      <c r="F5" s="467" t="s">
        <v>699</v>
      </c>
      <c r="G5" s="466" t="s">
        <v>700</v>
      </c>
      <c r="H5" s="460" t="s">
        <v>701</v>
      </c>
      <c r="I5" s="460" t="str">
        <f t="shared" si="2"/>
        <v>[fr]© GWÖ</v>
      </c>
      <c r="J5" s="460" t="str">
        <f>"[pt]"&amp;E5</f>
        <v>[pt]© GWÖ</v>
      </c>
      <c r="K5" s="460" t="str">
        <f t="shared" si="3"/>
        <v>[gr]© GWÖ</v>
      </c>
    </row>
    <row r="6" spans="1:11" ht="15.75" customHeight="1">
      <c r="A6" s="457">
        <v>4</v>
      </c>
      <c r="B6" s="465" t="s">
        <v>690</v>
      </c>
      <c r="C6" s="457">
        <f t="shared" si="1"/>
        <v>4</v>
      </c>
      <c r="D6" s="459" t="str">
        <f t="shared" si="0"/>
        <v>Version</v>
      </c>
      <c r="E6" s="468" t="s">
        <v>702</v>
      </c>
      <c r="F6" s="468" t="s">
        <v>703</v>
      </c>
      <c r="G6" s="469" t="s">
        <v>702</v>
      </c>
      <c r="H6" s="460" t="s">
        <v>704</v>
      </c>
      <c r="I6" s="460" t="str">
        <f t="shared" si="2"/>
        <v>[fr]Version</v>
      </c>
      <c r="J6" s="460" t="s">
        <v>705</v>
      </c>
      <c r="K6" s="460" t="str">
        <f t="shared" si="3"/>
        <v>[gr]Version</v>
      </c>
    </row>
    <row r="7" spans="1:11" ht="15.75" customHeight="1">
      <c r="A7" s="457">
        <v>5</v>
      </c>
      <c r="B7" s="460" t="s">
        <v>691</v>
      </c>
      <c r="C7" s="457">
        <f t="shared" si="1"/>
        <v>5</v>
      </c>
      <c r="D7" s="459" t="str">
        <f t="shared" si="0"/>
        <v>WELCOME!</v>
      </c>
      <c r="E7" s="467" t="s">
        <v>706</v>
      </c>
      <c r="F7" s="467" t="s">
        <v>707</v>
      </c>
      <c r="G7" s="470" t="s">
        <v>708</v>
      </c>
      <c r="H7" s="460" t="s">
        <v>709</v>
      </c>
      <c r="I7" s="460" t="str">
        <f t="shared" si="2"/>
        <v>[fr]HERZLICH WILLKOMMEN!</v>
      </c>
      <c r="J7" s="460" t="str">
        <f t="shared" ref="J7:J37" si="4">"[pt]"&amp;E7</f>
        <v>[pt]HERZLICH WILLKOMMEN!</v>
      </c>
      <c r="K7" s="460" t="str">
        <f t="shared" si="3"/>
        <v>[gr]HERZLICH WILLKOMMEN!</v>
      </c>
    </row>
    <row r="8" spans="1:11" ht="81.599999999999994" customHeight="1">
      <c r="A8" s="457">
        <v>6</v>
      </c>
      <c r="B8" s="460" t="s">
        <v>692</v>
      </c>
      <c r="C8" s="457">
        <f t="shared" si="1"/>
        <v>6</v>
      </c>
      <c r="D8" s="459" t="str">
        <f t="shared" si="0"/>
        <v>This tool is for calculating the overall Common Good Points for your company or organisation. It complements the Common Good Report and has to be used together with it. Have fun with your calculation!</v>
      </c>
      <c r="E8" s="460" t="s">
        <v>710</v>
      </c>
      <c r="F8" s="460" t="s">
        <v>711</v>
      </c>
      <c r="G8" s="471" t="s">
        <v>712</v>
      </c>
      <c r="H8" s="460" t="s">
        <v>713</v>
      </c>
      <c r="I8" s="460" t="str">
        <f t="shared" si="2"/>
        <v>[fr]Dieses Tool dient zur Berechnung der Gemeinwohl-Punkte Ihres Unternehmens. Es ist eine Ergänzung zum Gemeinwohlbericht und muss gemeinsam mit diesem genutzt werden.  Wir wünschen gutes Gelingen!</v>
      </c>
      <c r="J8" s="460" t="str">
        <f t="shared" si="4"/>
        <v>[pt]Dieses Tool dient zur Berechnung der Gemeinwohl-Punkte Ihres Unternehmens. Es ist eine Ergänzung zum Gemeinwohlbericht und muss gemeinsam mit diesem genutzt werden.  Wir wünschen gutes Gelingen!</v>
      </c>
      <c r="K8" s="460" t="str">
        <f t="shared" si="3"/>
        <v>[gr]Dieses Tool dient zur Berechnung der Gemeinwohl-Punkte Ihres Unternehmens. Es ist eine Ergänzung zum Gemeinwohlbericht und muss gemeinsam mit diesem genutzt werden.  Wir wünschen gutes Gelingen!</v>
      </c>
    </row>
    <row r="9" spans="1:11" ht="28.5" customHeight="1">
      <c r="A9" s="457">
        <v>7</v>
      </c>
      <c r="B9" s="460" t="s">
        <v>693</v>
      </c>
      <c r="C9" s="457">
        <f t="shared" si="1"/>
        <v>7</v>
      </c>
      <c r="D9" s="459" t="str">
        <f t="shared" si="0"/>
        <v>HOW TO USE THE BALANCE SHEET CALCULATOR:</v>
      </c>
      <c r="E9" s="460" t="s">
        <v>714</v>
      </c>
      <c r="F9" s="460" t="s">
        <v>715</v>
      </c>
      <c r="G9" s="466" t="s">
        <v>716</v>
      </c>
      <c r="H9" s="460" t="s">
        <v>717</v>
      </c>
      <c r="I9" s="460" t="str">
        <f t="shared" si="2"/>
        <v>[fr]WIE SIE DEN BILANZ-RECHNER RICHTIG VERWENDEN:</v>
      </c>
      <c r="J9" s="460" t="str">
        <f t="shared" si="4"/>
        <v>[pt]WIE SIE DEN BILANZ-RECHNER RICHTIG VERWENDEN:</v>
      </c>
      <c r="K9" s="460" t="str">
        <f t="shared" si="3"/>
        <v>[gr]WIE SIE DEN BILANZ-RECHNER RICHTIG VERWENDEN:</v>
      </c>
    </row>
    <row r="10" spans="1:11" ht="15.75" customHeight="1">
      <c r="A10" s="457">
        <v>8</v>
      </c>
      <c r="B10" s="460"/>
      <c r="C10" s="457">
        <f t="shared" si="1"/>
        <v>8</v>
      </c>
      <c r="D10" s="459" t="str">
        <f t="shared" si="0"/>
        <v>1. General</v>
      </c>
      <c r="E10" s="460" t="s">
        <v>718</v>
      </c>
      <c r="F10" s="467" t="s">
        <v>719</v>
      </c>
      <c r="G10" s="466" t="s">
        <v>720</v>
      </c>
      <c r="H10" s="460" t="s">
        <v>720</v>
      </c>
      <c r="I10" s="460" t="str">
        <f t="shared" si="2"/>
        <v>[fr]1. Allgemeines</v>
      </c>
      <c r="J10" s="460" t="str">
        <f t="shared" si="4"/>
        <v>[pt]1. Allgemeines</v>
      </c>
      <c r="K10" s="460" t="str">
        <f t="shared" si="3"/>
        <v>[gr]1. Allgemeines</v>
      </c>
    </row>
    <row r="11" spans="1:11" ht="28.5" customHeight="1">
      <c r="A11" s="457">
        <v>9</v>
      </c>
      <c r="B11" s="460"/>
      <c r="C11" s="457">
        <f t="shared" si="1"/>
        <v>9</v>
      </c>
      <c r="D11" s="459" t="str">
        <f t="shared" si="0"/>
        <v>You can enter general information about your company or organisation in this section.</v>
      </c>
      <c r="E11" s="460" t="s">
        <v>721</v>
      </c>
      <c r="F11" s="460" t="s">
        <v>722</v>
      </c>
      <c r="G11" s="466" t="s">
        <v>723</v>
      </c>
      <c r="H11" s="460" t="s">
        <v>724</v>
      </c>
      <c r="I11" s="460" t="str">
        <f t="shared" si="2"/>
        <v>[fr]Hier können Sie allgemeinen Angaben zu Ihrem Unternehmen machen.</v>
      </c>
      <c r="J11" s="460" t="str">
        <f t="shared" si="4"/>
        <v>[pt]Hier können Sie allgemeinen Angaben zu Ihrem Unternehmen machen.</v>
      </c>
      <c r="K11" s="460" t="str">
        <f t="shared" si="3"/>
        <v>[gr]Hier können Sie allgemeinen Angaben zu Ihrem Unternehmen machen.</v>
      </c>
    </row>
    <row r="12" spans="1:11" ht="41.85" customHeight="1">
      <c r="A12" s="457">
        <v>10</v>
      </c>
      <c r="B12" s="460"/>
      <c r="C12" s="457">
        <f t="shared" si="1"/>
        <v>10</v>
      </c>
      <c r="D12" s="459" t="str">
        <f t="shared" si="0"/>
        <v>All fields in this section must be completed as they are essential for the weighting of each theme.</v>
      </c>
      <c r="E12" s="460" t="s">
        <v>725</v>
      </c>
      <c r="F12" s="460" t="s">
        <v>726</v>
      </c>
      <c r="G12" s="466" t="s">
        <v>727</v>
      </c>
      <c r="H12" s="460" t="s">
        <v>728</v>
      </c>
      <c r="I12" s="460" t="str">
        <f t="shared" si="2"/>
        <v xml:space="preserve">[fr]Hier müssen alle geforderten Kenngrößen eingetragen werden, da diese für die Gewichtung der Themen essentiell sind. </v>
      </c>
      <c r="J12" s="460" t="str">
        <f t="shared" si="4"/>
        <v xml:space="preserve">[pt]Hier müssen alle geforderten Kenngrößen eingetragen werden, da diese für die Gewichtung der Themen essentiell sind. </v>
      </c>
      <c r="K12" s="460" t="str">
        <f t="shared" si="3"/>
        <v xml:space="preserve">[gr]Hier müssen alle geforderten Kenngrößen eingetragen werden, da diese für die Gewichtung der Themen essentiell sind. </v>
      </c>
    </row>
    <row r="13" spans="1:11" ht="54.75" customHeight="1">
      <c r="A13" s="457">
        <v>11</v>
      </c>
      <c r="B13" s="460"/>
      <c r="C13" s="472"/>
      <c r="D13" s="459" t="str">
        <f t="shared" si="0"/>
        <v>For each theme (A1, B1, ...) a certain maximum number of Common Good Points can be achieved. To evaluate how many points your company scores, follow these steps:</v>
      </c>
      <c r="E13" s="460" t="s">
        <v>729</v>
      </c>
      <c r="F13" s="460" t="s">
        <v>730</v>
      </c>
      <c r="G13" s="466" t="s">
        <v>731</v>
      </c>
      <c r="H13" s="460" t="s">
        <v>732</v>
      </c>
      <c r="I13" s="460" t="str">
        <f t="shared" si="2"/>
        <v>[fr]Für jedes Thema (A1, B1, ...) kann eine bestimmte Anzahl an Gemeinwohl-Punkten erreicht werden. Um zu ermitteln, wie viele davon Ihr Unternehmen erhält, gehen Sie wie folgt vor:</v>
      </c>
      <c r="J13" s="460" t="str">
        <f t="shared" si="4"/>
        <v>[pt]Für jedes Thema (A1, B1, ...) kann eine bestimmte Anzahl an Gemeinwohl-Punkten erreicht werden. Um zu ermitteln, wie viele davon Ihr Unternehmen erhält, gehen Sie wie folgt vor:</v>
      </c>
      <c r="K13" s="460" t="str">
        <f t="shared" si="3"/>
        <v>[gr]Für jedes Thema (A1, B1, ...) kann eine bestimmte Anzahl an Gemeinwohl-Punkten erreicht werden. Um zu ermitteln, wie viele davon Ihr Unternehmen erhält, gehen Sie wie folgt vor:</v>
      </c>
    </row>
    <row r="14" spans="1:11" ht="68.25" customHeight="1">
      <c r="A14" s="457">
        <v>12</v>
      </c>
      <c r="B14" s="460"/>
      <c r="C14" s="472"/>
      <c r="D14" s="459" t="str">
        <f t="shared" si="0"/>
        <v>Describe the current status and potential for improvement for the various aspects under key headings. Use the workbook as a reference. (This is optional and not absolutely necessary for the calculation.)</v>
      </c>
      <c r="E14" s="432" t="s">
        <v>733</v>
      </c>
      <c r="F14" s="460" t="s">
        <v>734</v>
      </c>
      <c r="G14" s="466" t="s">
        <v>735</v>
      </c>
      <c r="H14" s="460" t="s">
        <v>736</v>
      </c>
      <c r="I14" s="460" t="str">
        <f t="shared" si="2"/>
        <v>[fr]Beschreiben Sie auf Basis des Arbeitsbuchs in wenigen Stichworten Ist-Zustand und Verbesserungspotenzial für die verschiedenen Aspekte (optional, ist für die Berechnung nicht unbedingt notwendig).</v>
      </c>
      <c r="J14" s="460" t="str">
        <f t="shared" si="4"/>
        <v>[pt]Beschreiben Sie auf Basis des Arbeitsbuchs in wenigen Stichworten Ist-Zustand und Verbesserungspotenzial für die verschiedenen Aspekte (optional, ist für die Berechnung nicht unbedingt notwendig).</v>
      </c>
      <c r="K14" s="460" t="str">
        <f t="shared" si="3"/>
        <v>[gr]Beschreiben Sie auf Basis des Arbeitsbuchs in wenigen Stichworten Ist-Zustand und Verbesserungspotenzial für die verschiedenen Aspekte (optional, ist für die Berechnung nicht unbedingt notwendig).</v>
      </c>
    </row>
    <row r="15" spans="1:11" ht="94.5" customHeight="1">
      <c r="A15" s="457">
        <v>13</v>
      </c>
      <c r="B15" s="460"/>
      <c r="C15" s="472"/>
      <c r="D15" s="459" t="str">
        <f t="shared" si="0"/>
        <v>Based on these descriptions, indicate on a scale of 0-10 how far you consider the respective aspect is met (Achievement level). The criteria for choosing the correct value can be found in the Workbook.</v>
      </c>
      <c r="E15" s="473" t="s">
        <v>737</v>
      </c>
      <c r="F15" s="460" t="s">
        <v>738</v>
      </c>
      <c r="G15" s="466" t="s">
        <v>739</v>
      </c>
      <c r="H15" s="460" t="s">
        <v>740</v>
      </c>
      <c r="I15" s="460" t="str">
        <f t="shared" si="2"/>
        <v>[fr]Geben Sie - aufbauend auf diesen Beschreibungen - an, entsprechend welchem Skalenwert (0-10) Ihrer Meinung nach der jeweilige Aspekt erfüllt ist (Spalte "Erfüllungsgrad"). Anhaltspunkte zur Wahl des "richtigen" Skalenwerts finden Sie wiederum im Arbeitsbuch.</v>
      </c>
      <c r="J15" s="460" t="str">
        <f t="shared" si="4"/>
        <v>[pt]Geben Sie - aufbauend auf diesen Beschreibungen - an, entsprechend welchem Skalenwert (0-10) Ihrer Meinung nach der jeweilige Aspekt erfüllt ist (Spalte "Erfüllungsgrad"). Anhaltspunkte zur Wahl des "richtigen" Skalenwerts finden Sie wiederum im Arbeitsbuch.</v>
      </c>
      <c r="K15" s="460" t="str">
        <f t="shared" si="3"/>
        <v>[gr]Geben Sie - aufbauend auf diesen Beschreibungen - an, entsprechend welchem Skalenwert (0-10) Ihrer Meinung nach der jeweilige Aspekt erfüllt ist (Spalte "Erfüllungsgrad"). Anhaltspunkte zur Wahl des "richtigen" Skalenwerts finden Sie wiederum im Arbeitsbuch.</v>
      </c>
    </row>
    <row r="16" spans="1:11" ht="44.1" customHeight="1">
      <c r="A16" s="457">
        <v>14</v>
      </c>
      <c r="B16" s="460"/>
      <c r="C16" s="472"/>
      <c r="D16" s="459" t="str">
        <f t="shared" si="0"/>
        <v>Negative aspects are allocated negative points according to the descriptions set out in the Workbook.</v>
      </c>
      <c r="E16" s="460" t="s">
        <v>741</v>
      </c>
      <c r="F16" s="460" t="s">
        <v>742</v>
      </c>
      <c r="G16" s="466" t="s">
        <v>743</v>
      </c>
      <c r="H16" s="460" t="s">
        <v>744</v>
      </c>
      <c r="I16" s="460" t="str">
        <f t="shared" si="2"/>
        <v xml:space="preserve">[fr]Für die Bewertung der Negativaspekte geben Sie Punktewerte entsprechend der Beschreibungen im Arbeitsbuch an. </v>
      </c>
      <c r="J16" s="460" t="str">
        <f t="shared" si="4"/>
        <v xml:space="preserve">[pt]Für die Bewertung der Negativaspekte geben Sie Punktewerte entsprechend der Beschreibungen im Arbeitsbuch an. </v>
      </c>
      <c r="K16" s="460" t="str">
        <f t="shared" si="3"/>
        <v xml:space="preserve">[gr]Für die Bewertung der Negativaspekte geben Sie Punktewerte entsprechend der Beschreibungen im Arbeitsbuch an. </v>
      </c>
    </row>
    <row r="17" spans="1:11" ht="124.5" customHeight="1">
      <c r="A17" s="457">
        <v>15</v>
      </c>
      <c r="B17" s="460"/>
      <c r="C17" s="472"/>
      <c r="D17" s="459" t="str">
        <f t="shared" si="0"/>
        <v>Where deemed necessary for your company and in agreement with the auditors you can change the relative weightings of individual aspects (A1.1, A1.2, ..). In the column Weighting, you can select values for each aspect. The distribution of available points for individual aspects will then be adjusted automatically, so that the total of all aspects of an indicator result in 100%.</v>
      </c>
      <c r="E17" s="474" t="s">
        <v>745</v>
      </c>
      <c r="F17" s="460" t="s">
        <v>746</v>
      </c>
      <c r="G17" s="466" t="s">
        <v>747</v>
      </c>
      <c r="H17" s="460" t="s">
        <v>748</v>
      </c>
      <c r="I17" s="460" t="str">
        <f t="shared" si="2"/>
        <v>[fr]Sie können, wenn es für ihr Unternehmen notwendig erscheint, in Abstimmung mit der AuditorIn die relativen Gewichtungen der einzelnen Aspekte (A1.1, A1.2, ...) verändern. In der Spalte "Gewichtung" ("Gew.") können Sie für jeden Aspekt Werte auswählen. Die Verteilung der möglichen Punkte auf die einzelnen Aspekte wird dann automatisch angepasst, sodass die Summe aller Aspekte eines Themas immer 100% ergibt.</v>
      </c>
      <c r="J17" s="460" t="str">
        <f t="shared" si="4"/>
        <v>[pt]Sie können, wenn es für ihr Unternehmen notwendig erscheint, in Abstimmung mit der AuditorIn die relativen Gewichtungen der einzelnen Aspekte (A1.1, A1.2, ...) verändern. In der Spalte "Gewichtung" ("Gew.") können Sie für jeden Aspekt Werte auswählen. Die Verteilung der möglichen Punkte auf die einzelnen Aspekte wird dann automatisch angepasst, sodass die Summe aller Aspekte eines Themas immer 100% ergibt.</v>
      </c>
      <c r="K17" s="460" t="str">
        <f t="shared" si="3"/>
        <v>[gr]Sie können, wenn es für ihr Unternehmen notwendig erscheint, in Abstimmung mit der AuditorIn die relativen Gewichtungen der einzelnen Aspekte (A1.1, A1.2, ...) verändern. In der Spalte "Gewichtung" ("Gew.") können Sie für jeden Aspekt Werte auswählen. Die Verteilung der möglichen Punkte auf die einzelnen Aspekte wird dann automatisch angepasst, sodass die Summe aller Aspekte eines Themas immer 100% ergibt.</v>
      </c>
    </row>
    <row r="18" spans="1:11" ht="54.75" customHeight="1">
      <c r="A18" s="457">
        <v>16</v>
      </c>
      <c r="B18" s="460"/>
      <c r="C18" s="472"/>
      <c r="D18" s="459" t="str">
        <f t="shared" si="0"/>
        <v>The calculation automatically weights each theme’s total value against the data in the ‘Company details’ section and rounds it to a whole-number multiple of 10%.</v>
      </c>
      <c r="E18" s="460" t="s">
        <v>749</v>
      </c>
      <c r="F18" s="460" t="s">
        <v>750</v>
      </c>
      <c r="G18" s="466" t="s">
        <v>751</v>
      </c>
      <c r="H18" s="460" t="s">
        <v>752</v>
      </c>
      <c r="I18" s="460" t="str">
        <f t="shared" si="2"/>
        <v>[fr]Bei der Berechnung werden die Gesamtwerte pro Thema automatisch entsprechend der Angaben im Faktenblatt gewichtet und auf ganzzahlige Vielfache von 10% gerundet.</v>
      </c>
      <c r="J18" s="460" t="str">
        <f t="shared" si="4"/>
        <v>[pt]Bei der Berechnung werden die Gesamtwerte pro Thema automatisch entsprechend der Angaben im Faktenblatt gewichtet und auf ganzzahlige Vielfache von 10% gerundet.</v>
      </c>
      <c r="K18" s="460" t="str">
        <f t="shared" si="3"/>
        <v>[gr]Bei der Berechnung werden die Gesamtwerte pro Thema automatisch entsprechend der Angaben im Faktenblatt gewichtet und auf ganzzahlige Vielfache von 10% gerundet.</v>
      </c>
    </row>
    <row r="19" spans="1:11" ht="28.5" customHeight="1">
      <c r="B19" s="460"/>
      <c r="C19" s="472"/>
      <c r="D19" s="459" t="str">
        <f t="shared" si="0"/>
        <v>The ECG-Matrix displays your result in a table.</v>
      </c>
      <c r="E19" s="460" t="s">
        <v>753</v>
      </c>
      <c r="F19" s="460" t="s">
        <v>754</v>
      </c>
      <c r="G19" s="466" t="s">
        <v>755</v>
      </c>
      <c r="H19" s="460" t="s">
        <v>756</v>
      </c>
      <c r="I19" s="460" t="str">
        <f t="shared" si="2"/>
        <v>[fr]Die "GW-Matrix" bietet einen tabellarischen Überblick über Ihr Ergebnis.</v>
      </c>
      <c r="J19" s="460" t="str">
        <f t="shared" si="4"/>
        <v>[pt]Die "GW-Matrix" bietet einen tabellarischen Überblick über Ihr Ergebnis.</v>
      </c>
      <c r="K19" s="460" t="str">
        <f t="shared" si="3"/>
        <v>[gr]Die "GW-Matrix" bietet einen tabellarischen Überblick über Ihr Ergebnis.</v>
      </c>
    </row>
    <row r="20" spans="1:11" ht="41.85" customHeight="1">
      <c r="B20" s="472"/>
      <c r="C20" s="472"/>
      <c r="D20" s="459" t="str">
        <f t="shared" si="0"/>
        <v>The ECG Matrix displays your result in a table.</v>
      </c>
      <c r="E20" s="460" t="s">
        <v>757</v>
      </c>
      <c r="F20" s="460" t="s">
        <v>758</v>
      </c>
      <c r="G20" s="466" t="s">
        <v>759</v>
      </c>
      <c r="H20" s="460" t="s">
        <v>760</v>
      </c>
      <c r="I20" s="460" t="str">
        <f t="shared" si="2"/>
        <v>[fr]Die "GW-Matrix" bietet einen tabellarischen Blick auf Ihr Ergebnis.</v>
      </c>
      <c r="J20" s="460" t="str">
        <f t="shared" si="4"/>
        <v>[pt]Die "GW-Matrix" bietet einen tabellarischen Blick auf Ihr Ergebnis.</v>
      </c>
      <c r="K20" s="460" t="str">
        <f t="shared" si="3"/>
        <v>[gr]Die "GW-Matrix" bietet einen tabellarischen Blick auf Ihr Ergebnis.</v>
      </c>
    </row>
    <row r="21" spans="1:11" ht="41.85" customHeight="1">
      <c r="B21" s="472"/>
      <c r="C21" s="472"/>
      <c r="D21" s="459" t="str">
        <f t="shared" si="0"/>
        <v>The values-star displays your result arranged by value as a graphic.</v>
      </c>
      <c r="E21" s="460" t="s">
        <v>761</v>
      </c>
      <c r="F21" s="460" t="s">
        <v>762</v>
      </c>
      <c r="G21" s="466" t="s">
        <v>763</v>
      </c>
      <c r="H21" s="460" t="s">
        <v>764</v>
      </c>
      <c r="I21" s="460" t="str">
        <f t="shared" si="2"/>
        <v>[fr]Der "Werte-Stern" zeigt schließlich Ihr Ergebnis nach Werten gegliedert in graphischer Form.</v>
      </c>
      <c r="J21" s="460" t="str">
        <f t="shared" si="4"/>
        <v>[pt]Der "Werte-Stern" zeigt schließlich Ihr Ergebnis nach Werten gegliedert in graphischer Form.</v>
      </c>
      <c r="K21" s="460" t="str">
        <f t="shared" si="3"/>
        <v>[gr]Der "Werte-Stern" zeigt schließlich Ihr Ergebnis nach Werten gegliedert in graphischer Form.</v>
      </c>
    </row>
    <row r="22" spans="1:11" ht="41.85" customHeight="1">
      <c r="B22" s="472"/>
      <c r="C22" s="472"/>
      <c r="D22" s="459" t="str">
        <f t="shared" si="0"/>
        <v>The group-star displays your result arranged by stakeholder as a graphic.</v>
      </c>
      <c r="E22" s="432" t="s">
        <v>765</v>
      </c>
      <c r="F22" s="460" t="s">
        <v>766</v>
      </c>
      <c r="G22" s="466" t="s">
        <v>767</v>
      </c>
      <c r="H22" s="460" t="s">
        <v>768</v>
      </c>
      <c r="I22" s="460" t="str">
        <f t="shared" si="2"/>
        <v>[fr]Der "Gruppen-Stern" zeigt schließlich Ihr Ergebnis nach Berührungsgruppen gegliedert in graphischer Form.</v>
      </c>
      <c r="J22" s="460" t="str">
        <f t="shared" si="4"/>
        <v>[pt]Der "Gruppen-Stern" zeigt schließlich Ihr Ergebnis nach Berührungsgruppen gegliedert in graphischer Form.</v>
      </c>
      <c r="K22" s="460" t="str">
        <f t="shared" si="3"/>
        <v>[gr]Der "Gruppen-Stern" zeigt schließlich Ihr Ergebnis nach Berührungsgruppen gegliedert in graphischer Form.</v>
      </c>
    </row>
    <row r="23" spans="1:11" ht="28.5" customHeight="1">
      <c r="B23" s="472"/>
      <c r="C23" s="472"/>
      <c r="D23" s="459" t="str">
        <f t="shared" si="0"/>
        <v>The theme-star displays the result of your themes as a graphic.</v>
      </c>
      <c r="E23" s="465" t="s">
        <v>769</v>
      </c>
      <c r="F23" s="460" t="s">
        <v>770</v>
      </c>
      <c r="G23" s="466" t="s">
        <v>771</v>
      </c>
      <c r="H23" s="460" t="s">
        <v>772</v>
      </c>
      <c r="I23" s="460" t="str">
        <f t="shared" si="2"/>
        <v>[fr]Der "Themen-Stern" zeigt schließlich Ihr Ergebnis in allen Themen in graphischer Form.</v>
      </c>
      <c r="J23" s="460" t="str">
        <f t="shared" si="4"/>
        <v>[pt]Der "Themen-Stern" zeigt schließlich Ihr Ergebnis in allen Themen in graphischer Form.</v>
      </c>
      <c r="K23" s="460" t="str">
        <f t="shared" si="3"/>
        <v>[gr]Der "Themen-Stern" zeigt schließlich Ihr Ergebnis in allen Themen in graphischer Form.</v>
      </c>
    </row>
    <row r="24" spans="1:11" ht="28.5" customHeight="1">
      <c r="B24" s="472"/>
      <c r="C24" s="472"/>
      <c r="D24" s="459" t="str">
        <f t="shared" si="0"/>
        <v>This is a description of the weighting model.</v>
      </c>
      <c r="E24" s="460" t="s">
        <v>773</v>
      </c>
      <c r="F24" s="460" t="s">
        <v>774</v>
      </c>
      <c r="G24" s="466" t="s">
        <v>775</v>
      </c>
      <c r="H24" s="460" t="s">
        <v>776</v>
      </c>
      <c r="I24" s="460" t="str">
        <f t="shared" si="2"/>
        <v xml:space="preserve">[fr]Hier finden Sie eine Beschreibung der Gewichtungsmodelles. </v>
      </c>
      <c r="J24" s="460" t="str">
        <f t="shared" si="4"/>
        <v xml:space="preserve">[pt]Hier finden Sie eine Beschreibung der Gewichtungsmodelles. </v>
      </c>
      <c r="K24" s="460" t="str">
        <f t="shared" si="3"/>
        <v xml:space="preserve">[gr]Hier finden Sie eine Beschreibung der Gewichtungsmodelles. </v>
      </c>
    </row>
    <row r="25" spans="1:11" ht="41.85" customHeight="1">
      <c r="B25" s="472"/>
      <c r="C25" s="472"/>
      <c r="D25" s="459" t="str">
        <f t="shared" si="0"/>
        <v>This is where the calculation determines how the individual stakeholder groups and themes are weighted.</v>
      </c>
      <c r="E25" s="460" t="s">
        <v>777</v>
      </c>
      <c r="F25" s="460" t="s">
        <v>778</v>
      </c>
      <c r="G25" s="466" t="s">
        <v>779</v>
      </c>
      <c r="H25" s="460" t="s">
        <v>780</v>
      </c>
      <c r="I25" s="460" t="str">
        <f t="shared" si="2"/>
        <v>[fr]Hier erfolgt die Berechnung wie die einzelnen Berührungsgruppen und Themen gewichtet werden.</v>
      </c>
      <c r="J25" s="460" t="str">
        <f t="shared" si="4"/>
        <v>[pt]Hier erfolgt die Berechnung wie die einzelnen Berührungsgruppen und Themen gewichtet werden.</v>
      </c>
      <c r="K25" s="460" t="str">
        <f t="shared" si="3"/>
        <v>[gr]Hier erfolgt die Berechnung wie die einzelnen Berührungsgruppen und Themen gewichtet werden.</v>
      </c>
    </row>
    <row r="26" spans="1:11" ht="54.75" customHeight="1">
      <c r="B26" s="472"/>
      <c r="C26" s="472"/>
      <c r="D26" s="459" t="str">
        <f t="shared" si="0"/>
        <v>This contains an assessment of the relevance of supply chains and environmental sustainability for all industry sectors, used in the weighting.</v>
      </c>
      <c r="E26" s="460" t="s">
        <v>781</v>
      </c>
      <c r="F26" s="460" t="s">
        <v>782</v>
      </c>
      <c r="G26" s="466" t="s">
        <v>783</v>
      </c>
      <c r="H26" s="460" t="s">
        <v>784</v>
      </c>
      <c r="I26" s="460" t="str">
        <f t="shared" si="2"/>
        <v xml:space="preserve">[fr]Enthält Einschätzungen der Relevanz von Zulieferkette und ökologische Nachhaltigkeit für alle Branchen,, die für die Gewichtung herangezogen werden. </v>
      </c>
      <c r="J26" s="460" t="str">
        <f t="shared" si="4"/>
        <v xml:space="preserve">[pt]Enthält Einschätzungen der Relevanz von Zulieferkette und ökologische Nachhaltigkeit für alle Branchen,, die für die Gewichtung herangezogen werden. </v>
      </c>
      <c r="K26" s="460" t="str">
        <f t="shared" si="3"/>
        <v xml:space="preserve">[gr]Enthält Einschätzungen der Relevanz von Zulieferkette und ökologische Nachhaltigkeit für alle Branchen,, die für die Gewichtung herangezogen werden. </v>
      </c>
    </row>
    <row r="27" spans="1:11" ht="28.5" customHeight="1">
      <c r="B27" s="472"/>
      <c r="C27" s="472"/>
      <c r="D27" s="459" t="str">
        <f t="shared" si="0"/>
        <v>This contains statistics for countries and regions used in the weighting.</v>
      </c>
      <c r="E27" s="460" t="s">
        <v>785</v>
      </c>
      <c r="F27" s="460" t="s">
        <v>786</v>
      </c>
      <c r="G27" s="466" t="s">
        <v>787</v>
      </c>
      <c r="H27" s="460" t="s">
        <v>788</v>
      </c>
      <c r="I27" s="460" t="str">
        <f t="shared" si="2"/>
        <v xml:space="preserve">[fr]Enthält Statistiken für Länder und Regionen, die für die Gewichtung herangezogen werden. </v>
      </c>
      <c r="J27" s="460" t="str">
        <f t="shared" si="4"/>
        <v xml:space="preserve">[pt]Enthält Statistiken für Länder und Regionen, die für die Gewichtung herangezogen werden. </v>
      </c>
      <c r="K27" s="460" t="str">
        <f t="shared" si="3"/>
        <v xml:space="preserve">[gr]Enthält Statistiken für Länder und Regionen, die für die Gewichtung herangezogen werden. </v>
      </c>
    </row>
    <row r="28" spans="1:11" ht="15.75" customHeight="1">
      <c r="B28" s="472"/>
      <c r="C28" s="472"/>
      <c r="D28" s="459" t="str">
        <f t="shared" si="0"/>
        <v>2. Company details</v>
      </c>
      <c r="E28" s="460" t="s">
        <v>789</v>
      </c>
      <c r="F28" s="460" t="s">
        <v>790</v>
      </c>
      <c r="G28" s="466" t="s">
        <v>791</v>
      </c>
      <c r="H28" s="460" t="s">
        <v>792</v>
      </c>
      <c r="I28" s="460" t="str">
        <f t="shared" si="2"/>
        <v>[fr]2. Fakten zum Unternehmen</v>
      </c>
      <c r="J28" s="460" t="str">
        <f t="shared" si="4"/>
        <v>[pt]2. Fakten zum Unternehmen</v>
      </c>
      <c r="K28" s="460" t="str">
        <f t="shared" si="3"/>
        <v>[gr]2. Fakten zum Unternehmen</v>
      </c>
    </row>
    <row r="29" spans="1:11" ht="15.75" customHeight="1">
      <c r="B29" s="472"/>
      <c r="C29" s="472"/>
      <c r="D29" s="459" t="str">
        <f t="shared" si="0"/>
        <v>3. Scoring</v>
      </c>
      <c r="E29" s="460" t="s">
        <v>793</v>
      </c>
      <c r="F29" s="460" t="s">
        <v>794</v>
      </c>
      <c r="G29" s="466" t="s">
        <v>795</v>
      </c>
      <c r="H29" s="460" t="s">
        <v>796</v>
      </c>
      <c r="I29" s="460" t="str">
        <f t="shared" si="2"/>
        <v>[fr]3. Berechnung</v>
      </c>
      <c r="J29" s="460" t="str">
        <f t="shared" si="4"/>
        <v>[pt]3. Berechnung</v>
      </c>
      <c r="K29" s="460" t="str">
        <f t="shared" si="3"/>
        <v>[gr]3. Berechnung</v>
      </c>
    </row>
    <row r="30" spans="1:11" ht="15.75" customHeight="1">
      <c r="B30" s="472"/>
      <c r="C30" s="472"/>
      <c r="D30" s="459" t="str">
        <f t="shared" si="0"/>
        <v>4. ECG Matrix</v>
      </c>
      <c r="E30" s="460" t="s">
        <v>797</v>
      </c>
      <c r="F30" s="460" t="s">
        <v>798</v>
      </c>
      <c r="G30" s="466" t="s">
        <v>799</v>
      </c>
      <c r="H30" s="460" t="s">
        <v>800</v>
      </c>
      <c r="I30" s="460" t="str">
        <f t="shared" si="2"/>
        <v>[fr]4. GW-Matrix</v>
      </c>
      <c r="J30" s="460" t="str">
        <f t="shared" si="4"/>
        <v>[pt]4. GW-Matrix</v>
      </c>
      <c r="K30" s="460" t="str">
        <f t="shared" si="3"/>
        <v>[gr]4. GW-Matrix</v>
      </c>
    </row>
    <row r="31" spans="1:11" ht="15.75" customHeight="1">
      <c r="B31" s="472"/>
      <c r="C31" s="472"/>
      <c r="D31" s="459" t="str">
        <f t="shared" si="0"/>
        <v>5. Values star</v>
      </c>
      <c r="E31" s="460" t="s">
        <v>801</v>
      </c>
      <c r="F31" s="460" t="s">
        <v>802</v>
      </c>
      <c r="G31" s="466" t="s">
        <v>803</v>
      </c>
      <c r="H31" s="460" t="s">
        <v>804</v>
      </c>
      <c r="I31" s="460" t="str">
        <f t="shared" si="2"/>
        <v>[fr]5. Werte-Stern</v>
      </c>
      <c r="J31" s="460" t="str">
        <f t="shared" si="4"/>
        <v>[pt]5. Werte-Stern</v>
      </c>
      <c r="K31" s="460" t="str">
        <f t="shared" si="3"/>
        <v>[gr]5. Werte-Stern</v>
      </c>
    </row>
    <row r="32" spans="1:11" ht="15.75" customHeight="1">
      <c r="B32" s="472"/>
      <c r="C32" s="472"/>
      <c r="D32" s="459" t="str">
        <f t="shared" si="0"/>
        <v>6. Group star</v>
      </c>
      <c r="E32" s="460" t="s">
        <v>805</v>
      </c>
      <c r="F32" s="460" t="s">
        <v>806</v>
      </c>
      <c r="G32" s="466" t="s">
        <v>807</v>
      </c>
      <c r="H32" s="460" t="s">
        <v>808</v>
      </c>
      <c r="I32" s="460" t="str">
        <f t="shared" si="2"/>
        <v>[fr]6. Gruppen-Stern</v>
      </c>
      <c r="J32" s="460" t="str">
        <f t="shared" si="4"/>
        <v>[pt]6. Gruppen-Stern</v>
      </c>
      <c r="K32" s="460" t="str">
        <f t="shared" si="3"/>
        <v>[gr]6. Gruppen-Stern</v>
      </c>
    </row>
    <row r="33" spans="2:11" ht="15.75" customHeight="1">
      <c r="B33" s="472"/>
      <c r="C33" s="472"/>
      <c r="D33" s="459" t="str">
        <f t="shared" si="0"/>
        <v>7. Theme star</v>
      </c>
      <c r="E33" s="460" t="s">
        <v>809</v>
      </c>
      <c r="F33" s="460" t="s">
        <v>810</v>
      </c>
      <c r="G33" s="466" t="s">
        <v>811</v>
      </c>
      <c r="H33" s="460" t="s">
        <v>812</v>
      </c>
      <c r="I33" s="460" t="str">
        <f t="shared" si="2"/>
        <v>[fr]7. Themen-Stern</v>
      </c>
      <c r="J33" s="460" t="str">
        <f t="shared" si="4"/>
        <v>[pt]7. Themen-Stern</v>
      </c>
      <c r="K33" s="460" t="str">
        <f t="shared" si="3"/>
        <v>[gr]7. Themen-Stern</v>
      </c>
    </row>
    <row r="34" spans="2:11" ht="15.75" customHeight="1">
      <c r="B34" s="472"/>
      <c r="C34" s="472"/>
      <c r="D34" s="459" t="str">
        <f t="shared" si="0"/>
        <v>8. Weighting model description</v>
      </c>
      <c r="E34" s="460" t="s">
        <v>813</v>
      </c>
      <c r="F34" s="460" t="s">
        <v>814</v>
      </c>
      <c r="G34" s="466" t="s">
        <v>815</v>
      </c>
      <c r="H34" s="460" t="s">
        <v>816</v>
      </c>
      <c r="I34" s="460" t="str">
        <f t="shared" si="2"/>
        <v>[fr]8. Beschreibung Gewichtungsmodell</v>
      </c>
      <c r="J34" s="460" t="str">
        <f t="shared" si="4"/>
        <v>[pt]8. Beschreibung Gewichtungsmodell</v>
      </c>
      <c r="K34" s="460" t="str">
        <f t="shared" si="3"/>
        <v>[gr]8. Beschreibung Gewichtungsmodell</v>
      </c>
    </row>
    <row r="35" spans="2:11" ht="15.75" customHeight="1">
      <c r="B35" s="472"/>
      <c r="C35" s="472"/>
      <c r="D35" s="459" t="str">
        <f t="shared" si="0"/>
        <v>9. Weighting (hidden)</v>
      </c>
      <c r="E35" s="460" t="s">
        <v>817</v>
      </c>
      <c r="F35" s="460" t="s">
        <v>818</v>
      </c>
      <c r="G35" s="466" t="s">
        <v>819</v>
      </c>
      <c r="H35" s="460" t="s">
        <v>820</v>
      </c>
      <c r="I35" s="460" t="str">
        <f t="shared" si="2"/>
        <v>[fr]9. Gewichtung (ausgeblendet)</v>
      </c>
      <c r="J35" s="460" t="str">
        <f t="shared" si="4"/>
        <v>[pt]9. Gewichtung (ausgeblendet)</v>
      </c>
      <c r="K35" s="460" t="str">
        <f t="shared" si="3"/>
        <v>[gr]9. Gewichtung (ausgeblendet)</v>
      </c>
    </row>
    <row r="36" spans="2:11" ht="15.75" customHeight="1">
      <c r="B36" s="472"/>
      <c r="C36" s="472"/>
      <c r="D36" s="459" t="str">
        <f t="shared" si="0"/>
        <v>10. Industry sectors (hidden)</v>
      </c>
      <c r="E36" s="460" t="s">
        <v>821</v>
      </c>
      <c r="F36" s="460" t="s">
        <v>822</v>
      </c>
      <c r="G36" s="466" t="s">
        <v>823</v>
      </c>
      <c r="H36" s="460" t="s">
        <v>824</v>
      </c>
      <c r="I36" s="460" t="str">
        <f t="shared" si="2"/>
        <v>[fr]10. Branchen (ausgeblendet)</v>
      </c>
      <c r="J36" s="460" t="str">
        <f t="shared" si="4"/>
        <v>[pt]10. Branchen (ausgeblendet)</v>
      </c>
      <c r="K36" s="460" t="str">
        <f t="shared" si="3"/>
        <v>[gr]10. Branchen (ausgeblendet)</v>
      </c>
    </row>
    <row r="37" spans="2:11" ht="15.75" customHeight="1">
      <c r="B37" s="472"/>
      <c r="C37" s="472"/>
      <c r="D37" s="459" t="str">
        <f t="shared" si="0"/>
        <v>11. Countries (hidden)</v>
      </c>
      <c r="E37" s="460" t="s">
        <v>825</v>
      </c>
      <c r="F37" s="460" t="s">
        <v>826</v>
      </c>
      <c r="G37" s="466" t="s">
        <v>827</v>
      </c>
      <c r="H37" s="460" t="s">
        <v>828</v>
      </c>
      <c r="I37" s="460" t="str">
        <f t="shared" si="2"/>
        <v>[fr]11. Länder und Regionen (ausgeblendet)</v>
      </c>
      <c r="J37" s="460" t="str">
        <f t="shared" si="4"/>
        <v>[pt]11. Länder und Regionen (ausgeblendet)</v>
      </c>
      <c r="K37" s="460" t="str">
        <f t="shared" si="3"/>
        <v>[gr]11. Länder und Regionen (ausgeblendet)</v>
      </c>
    </row>
    <row r="38" spans="2:11" ht="15.75" customHeight="1">
      <c r="B38" s="472"/>
      <c r="C38" s="472"/>
      <c r="D38" s="459"/>
      <c r="E38" s="460"/>
      <c r="G38" s="466"/>
      <c r="H38" s="460"/>
      <c r="I38" s="460"/>
      <c r="J38" s="460"/>
      <c r="K38" s="460"/>
    </row>
    <row r="39" spans="2:11" ht="15.75" customHeight="1">
      <c r="B39" s="472"/>
      <c r="C39" s="472"/>
      <c r="D39" s="459">
        <f t="shared" ref="D39:D293" si="5">HLOOKUP($C$1,$E$1:$X$4910,ROW(D39))</f>
        <v>0</v>
      </c>
      <c r="E39" s="460"/>
      <c r="G39" s="466"/>
      <c r="H39" s="460"/>
      <c r="I39" s="460"/>
      <c r="J39" s="460"/>
      <c r="K39" s="460"/>
    </row>
    <row r="40" spans="2:11" ht="15.75" customHeight="1">
      <c r="B40" s="472"/>
      <c r="C40" s="472"/>
      <c r="D40" s="459" t="str">
        <f t="shared" si="5"/>
        <v>KEY</v>
      </c>
      <c r="E40" s="460" t="s">
        <v>829</v>
      </c>
      <c r="F40" s="460" t="s">
        <v>830</v>
      </c>
      <c r="G40" s="466" t="s">
        <v>831</v>
      </c>
      <c r="H40" s="460" t="s">
        <v>832</v>
      </c>
      <c r="I40" s="460" t="str">
        <f>"[fr]"&amp;E40</f>
        <v>[fr]LEGENDE</v>
      </c>
      <c r="J40" s="460" t="str">
        <f>"[pt]"&amp;E40</f>
        <v>[pt]LEGENDE</v>
      </c>
      <c r="K40" s="460" t="str">
        <f>"[gr]"&amp;E40</f>
        <v>[gr]LEGENDE</v>
      </c>
    </row>
    <row r="41" spans="2:11" ht="28.5" customHeight="1">
      <c r="B41" s="472"/>
      <c r="C41" s="472"/>
      <c r="D41" s="459" t="str">
        <f t="shared" si="5"/>
        <v>Field is editable (green frame, dark green text)</v>
      </c>
      <c r="E41" s="460" t="s">
        <v>833</v>
      </c>
      <c r="F41" s="460" t="s">
        <v>834</v>
      </c>
      <c r="G41" s="466" t="s">
        <v>835</v>
      </c>
      <c r="H41" s="460" t="s">
        <v>836</v>
      </c>
      <c r="I41" s="460" t="str">
        <f>"[fr]"&amp;E41</f>
        <v>[fr]Feld ist beschreibbar (grüner Rahmen, dunkelgrüne Schrift)</v>
      </c>
      <c r="J41" s="460" t="str">
        <f>"[pt]"&amp;E41</f>
        <v>[pt]Feld ist beschreibbar (grüner Rahmen, dunkelgrüne Schrift)</v>
      </c>
      <c r="K41" s="460" t="str">
        <f>"[gr]"&amp;E41</f>
        <v>[gr]Feld ist beschreibbar (grüner Rahmen, dunkelgrüne Schrift)</v>
      </c>
    </row>
    <row r="42" spans="2:11" ht="28.5" customHeight="1">
      <c r="B42" s="472"/>
      <c r="C42" s="472"/>
      <c r="D42" s="459" t="str">
        <f t="shared" si="5"/>
        <v>Feld is read-only (grey frame, dark grey text)</v>
      </c>
      <c r="E42" s="460" t="s">
        <v>837</v>
      </c>
      <c r="F42" s="460" t="s">
        <v>838</v>
      </c>
      <c r="G42" s="466" t="s">
        <v>839</v>
      </c>
      <c r="H42" s="460" t="s">
        <v>840</v>
      </c>
      <c r="I42" s="460" t="str">
        <f>"[fr]"&amp;E42</f>
        <v>[fr]Feld ist nicht beschreibbar (grauer Rahmen, dunkelgraue Schrift)</v>
      </c>
      <c r="J42" s="460" t="str">
        <f>"[pt]"&amp;E42</f>
        <v>[pt]Feld ist nicht beschreibbar (grauer Rahmen, dunkelgraue Schrift)</v>
      </c>
      <c r="K42" s="460" t="str">
        <f>"[gr]"&amp;E42</f>
        <v>[gr]Feld ist nicht beschreibbar (grauer Rahmen, dunkelgraue Schrift)</v>
      </c>
    </row>
    <row r="43" spans="2:11" ht="26.85" customHeight="1">
      <c r="B43" s="472"/>
      <c r="C43" s="472"/>
      <c r="D43" s="459" t="str">
        <f t="shared" si="5"/>
        <v>non valid value entry (for correct calculation change value)</v>
      </c>
      <c r="E43" s="460" t="s">
        <v>841</v>
      </c>
      <c r="F43" s="460" t="s">
        <v>842</v>
      </c>
      <c r="G43" s="466" t="s">
        <v>843</v>
      </c>
      <c r="H43" s="460" t="s">
        <v>844</v>
      </c>
      <c r="I43" s="460" t="str">
        <f>"[fr]"&amp;E43</f>
        <v>[fr]unerlaubter Wert eingegeben (zur korrekten Berechnung Wert ändern)</v>
      </c>
      <c r="J43" s="460" t="str">
        <f>"[pt]"&amp;E43</f>
        <v>[pt]unerlaubter Wert eingegeben (zur korrekten Berechnung Wert ändern)</v>
      </c>
      <c r="K43" s="460" t="str">
        <f>"[gr]"&amp;E43</f>
        <v>[gr]unerlaubter Wert eingegeben (zur korrekten Berechnung Wert ändern)</v>
      </c>
    </row>
    <row r="44" spans="2:11" ht="26.85" customHeight="1">
      <c r="B44" s="472"/>
      <c r="C44" s="472"/>
      <c r="D44" s="459" t="str">
        <f t="shared" si="5"/>
        <v>Values are not consistent</v>
      </c>
      <c r="E44" s="475" t="s">
        <v>3197</v>
      </c>
      <c r="F44" s="475" t="s">
        <v>3197</v>
      </c>
      <c r="G44" s="476" t="s">
        <v>3198</v>
      </c>
      <c r="H44" s="475" t="s">
        <v>3199</v>
      </c>
      <c r="I44" s="460" t="str">
        <f>"[fr]"&amp;E44</f>
        <v>[fr]fehlerhafte Eingabe</v>
      </c>
      <c r="J44" s="460" t="str">
        <f>"[pt]"&amp;E44</f>
        <v>[pt]fehlerhafte Eingabe</v>
      </c>
      <c r="K44" s="460" t="str">
        <f>"[gr]"&amp;E44</f>
        <v>[gr]fehlerhafte Eingabe</v>
      </c>
    </row>
    <row r="45" spans="2:11" ht="44.1" customHeight="1">
      <c r="B45" s="472"/>
      <c r="C45" s="472"/>
      <c r="D45" s="459">
        <f t="shared" si="5"/>
        <v>0</v>
      </c>
      <c r="E45" s="460"/>
      <c r="G45" s="466"/>
      <c r="H45" s="460"/>
      <c r="I45" s="460"/>
      <c r="J45" s="460"/>
      <c r="K45" s="460"/>
    </row>
    <row r="46" spans="2:11" ht="26.85" customHeight="1">
      <c r="B46" s="472"/>
      <c r="C46" s="472"/>
      <c r="D46" s="459">
        <f t="shared" si="5"/>
        <v>0</v>
      </c>
      <c r="E46" s="460"/>
      <c r="G46" s="466"/>
      <c r="H46" s="460"/>
      <c r="I46" s="460"/>
      <c r="J46" s="460"/>
      <c r="K46" s="460"/>
    </row>
    <row r="47" spans="2:11" ht="38.25" customHeight="1">
      <c r="B47" s="472"/>
      <c r="C47" s="472"/>
      <c r="D47" s="459">
        <f t="shared" si="5"/>
        <v>0</v>
      </c>
      <c r="E47" s="460"/>
      <c r="G47" s="466"/>
      <c r="H47" s="460"/>
      <c r="I47" s="460"/>
      <c r="J47" s="460"/>
      <c r="K47" s="460"/>
    </row>
    <row r="48" spans="2:11" ht="26.85" customHeight="1">
      <c r="B48" s="472"/>
      <c r="C48" s="472"/>
      <c r="D48" s="459">
        <f t="shared" si="5"/>
        <v>0</v>
      </c>
      <c r="E48" s="460"/>
      <c r="G48" s="466"/>
      <c r="H48" s="460"/>
      <c r="I48" s="460"/>
      <c r="J48" s="460"/>
      <c r="K48" s="460"/>
    </row>
    <row r="49" spans="2:11" ht="26.85" customHeight="1">
      <c r="B49" s="472"/>
      <c r="C49" s="472"/>
      <c r="D49" s="459">
        <f t="shared" si="5"/>
        <v>0</v>
      </c>
      <c r="E49" s="460"/>
      <c r="G49" s="466"/>
      <c r="H49" s="460"/>
      <c r="I49" s="460"/>
      <c r="J49" s="460"/>
      <c r="K49" s="460"/>
    </row>
    <row r="50" spans="2:11" ht="26.85" customHeight="1">
      <c r="B50" s="472"/>
      <c r="C50" s="472"/>
      <c r="D50" s="459">
        <f t="shared" si="5"/>
        <v>0</v>
      </c>
      <c r="E50" s="460"/>
      <c r="G50" s="466"/>
      <c r="H50" s="460"/>
      <c r="I50" s="460"/>
      <c r="J50" s="460"/>
      <c r="K50" s="460"/>
    </row>
    <row r="51" spans="2:11" ht="26.85" customHeight="1">
      <c r="B51" s="472"/>
      <c r="C51" s="472"/>
      <c r="D51" s="459">
        <f t="shared" si="5"/>
        <v>0</v>
      </c>
      <c r="E51" s="460"/>
      <c r="G51" s="466"/>
      <c r="H51" s="460"/>
      <c r="I51" s="460"/>
      <c r="J51" s="460"/>
      <c r="K51" s="460"/>
    </row>
    <row r="52" spans="2:11" ht="26.85" customHeight="1">
      <c r="B52" s="472"/>
      <c r="C52" s="472"/>
      <c r="D52" s="459" t="str">
        <f t="shared" si="5"/>
        <v>yes</v>
      </c>
      <c r="E52" s="460" t="s">
        <v>845</v>
      </c>
      <c r="F52" s="460" t="s">
        <v>846</v>
      </c>
      <c r="G52" s="466" t="s">
        <v>847</v>
      </c>
      <c r="H52" s="460" t="s">
        <v>848</v>
      </c>
      <c r="I52" s="460" t="str">
        <f>"[fr]"&amp;E52</f>
        <v>[fr]ja</v>
      </c>
      <c r="J52" s="460" t="str">
        <f>"[pt]"&amp;E52</f>
        <v>[pt]ja</v>
      </c>
      <c r="K52" s="460" t="str">
        <f t="shared" ref="K52:K83" si="6">"[gr]"&amp;E52</f>
        <v>[gr]ja</v>
      </c>
    </row>
    <row r="53" spans="2:11" ht="26.85" customHeight="1">
      <c r="B53" s="472"/>
      <c r="C53" s="472"/>
      <c r="D53" s="459" t="str">
        <f t="shared" si="5"/>
        <v>no</v>
      </c>
      <c r="E53" s="460" t="s">
        <v>849</v>
      </c>
      <c r="F53" s="460" t="s">
        <v>850</v>
      </c>
      <c r="G53" s="466" t="s">
        <v>850</v>
      </c>
      <c r="H53" s="460" t="s">
        <v>851</v>
      </c>
      <c r="I53" s="460" t="s">
        <v>852</v>
      </c>
      <c r="J53" s="460" t="s">
        <v>853</v>
      </c>
      <c r="K53" s="460" t="str">
        <f t="shared" si="6"/>
        <v>[gr]nein</v>
      </c>
    </row>
    <row r="54" spans="2:11" ht="15.75" customHeight="1">
      <c r="D54" s="459" t="str">
        <f t="shared" si="5"/>
        <v>CONTACT</v>
      </c>
      <c r="E54" s="460" t="s">
        <v>854</v>
      </c>
      <c r="F54" s="460" t="s">
        <v>855</v>
      </c>
      <c r="G54" s="466" t="s">
        <v>856</v>
      </c>
      <c r="H54" s="460" t="s">
        <v>857</v>
      </c>
      <c r="I54" s="460" t="str">
        <f t="shared" ref="I54:I83" si="7">"[fr]"&amp;E54</f>
        <v>[fr]KONTAKT</v>
      </c>
      <c r="J54" s="460" t="str">
        <f t="shared" ref="J54:J81" si="8">"[pt]"&amp;E54</f>
        <v>[pt]KONTAKT</v>
      </c>
      <c r="K54" s="460" t="str">
        <f t="shared" si="6"/>
        <v>[gr]KONTAKT</v>
      </c>
    </row>
    <row r="55" spans="2:11" ht="41.85" customHeight="1">
      <c r="D55" s="459" t="str">
        <f t="shared" si="5"/>
        <v>Questions regarding preparation of balance sheet:
beratung@gemeinwohl-oekonomie.org (GWÖ-BeraterInnen);</v>
      </c>
      <c r="E55" s="460" t="s">
        <v>858</v>
      </c>
      <c r="F55" s="460" t="s">
        <v>859</v>
      </c>
      <c r="G55" s="466" t="s">
        <v>860</v>
      </c>
      <c r="H55" s="460" t="s">
        <v>861</v>
      </c>
      <c r="I55" s="460" t="str">
        <f t="shared" si="7"/>
        <v>[fr]Fragen zur Bilanz-Erstellung: beratung@gemeinwohl-oekonomie.org (GWÖ-BeraterInnen);</v>
      </c>
      <c r="J55" s="460" t="str">
        <f t="shared" si="8"/>
        <v>[pt]Fragen zur Bilanz-Erstellung: beratung@gemeinwohl-oekonomie.org (GWÖ-BeraterInnen);</v>
      </c>
      <c r="K55" s="460" t="str">
        <f t="shared" si="6"/>
        <v>[gr]Fragen zur Bilanz-Erstellung: beratung@gemeinwohl-oekonomie.org (GWÖ-BeraterInnen);</v>
      </c>
    </row>
    <row r="56" spans="2:11" ht="28.5" customHeight="1">
      <c r="D56" s="459" t="str">
        <f t="shared" si="5"/>
        <v>Questions regarding audit: audit@gemeinwohl-oekonomie.org (GWÖ-AuditorInnen);</v>
      </c>
      <c r="E56" s="460" t="s">
        <v>862</v>
      </c>
      <c r="F56" s="477" t="s">
        <v>863</v>
      </c>
      <c r="G56" s="466" t="s">
        <v>864</v>
      </c>
      <c r="H56" s="460" t="s">
        <v>865</v>
      </c>
      <c r="I56" s="460" t="str">
        <f t="shared" si="7"/>
        <v>[fr]Fragen zur Auditierung: audit@gemeinwohl-oekonomie.org (GWÖ-AuditorInnen);</v>
      </c>
      <c r="J56" s="460" t="str">
        <f t="shared" si="8"/>
        <v>[pt]Fragen zur Auditierung: audit@gemeinwohl-oekonomie.org (GWÖ-AuditorInnen);</v>
      </c>
      <c r="K56" s="460" t="str">
        <f t="shared" si="6"/>
        <v>[gr]Fragen zur Auditierung: audit@gemeinwohl-oekonomie.org (GWÖ-AuditorInnen);</v>
      </c>
    </row>
    <row r="57" spans="2:11" ht="41.85" customHeight="1">
      <c r="D57" s="459" t="str">
        <f t="shared" si="5"/>
        <v>Feedback on the development of the Matrix: bilanz@ecogood.org (Matrix Development Team)</v>
      </c>
      <c r="E57" s="460" t="s">
        <v>866</v>
      </c>
      <c r="F57" s="460" t="str">
        <f>"[it]"&amp;E57</f>
        <v>[it]Weiterentwicklung der Matrix: bilanz@ecogood.org (GWÖ-Matrix Entwicklungsteam);</v>
      </c>
      <c r="G57" s="466" t="s">
        <v>867</v>
      </c>
      <c r="H57" s="460" t="s">
        <v>868</v>
      </c>
      <c r="I57" s="460" t="str">
        <f t="shared" si="7"/>
        <v>[fr]Weiterentwicklung der Matrix: bilanz@ecogood.org (GWÖ-Matrix Entwicklungsteam);</v>
      </c>
      <c r="J57" s="460" t="str">
        <f t="shared" si="8"/>
        <v>[pt]Weiterentwicklung der Matrix: bilanz@ecogood.org (GWÖ-Matrix Entwicklungsteam);</v>
      </c>
      <c r="K57" s="460" t="str">
        <f t="shared" si="6"/>
        <v>[gr]Weiterentwicklung der Matrix: bilanz@ecogood.org (GWÖ-Matrix Entwicklungsteam);</v>
      </c>
    </row>
    <row r="58" spans="2:11" ht="79.349999999999994" customHeight="1">
      <c r="D58" s="459" t="str">
        <f t="shared" si="5"/>
        <v>Excel programming: Christian Loy (christian.loy@gmx.at); Christian Kozina; Multilanguage tool: Bernhard Oberrauch</v>
      </c>
      <c r="E58" s="478" t="s">
        <v>869</v>
      </c>
      <c r="F58" s="460" t="s">
        <v>870</v>
      </c>
      <c r="G58" s="466" t="s">
        <v>871</v>
      </c>
      <c r="H58" s="460" t="s">
        <v>872</v>
      </c>
      <c r="I58" s="460" t="str">
        <f t="shared" si="7"/>
        <v>[fr]Excel-Programmierung: Christian Loy (christian.loy@gmx.at); Christian Kozina; Multilanguage-tool: Bernhard Oberrauch</v>
      </c>
      <c r="J58" s="460" t="str">
        <f t="shared" si="8"/>
        <v>[pt]Excel-Programmierung: Christian Loy (christian.loy@gmx.at); Christian Kozina; Multilanguage-tool: Bernhard Oberrauch</v>
      </c>
      <c r="K58" s="460" t="str">
        <f t="shared" si="6"/>
        <v>[gr]Excel-Programmierung: Christian Loy (christian.loy@gmx.at); Christian Kozina; Multilanguage-tool: Bernhard Oberrauch</v>
      </c>
    </row>
    <row r="59" spans="2:11" ht="15.75" customHeight="1">
      <c r="D59" s="459" t="str">
        <f t="shared" si="5"/>
        <v>Contents: ECG-Matrix Development Team</v>
      </c>
      <c r="E59" s="460" t="s">
        <v>873</v>
      </c>
      <c r="F59" s="460" t="str">
        <f>"[it]"&amp;E59</f>
        <v>[it]Inhalte: GWÖ-Matrix Entwicklungsteam</v>
      </c>
      <c r="G59" s="466" t="s">
        <v>874</v>
      </c>
      <c r="H59" s="460" t="s">
        <v>875</v>
      </c>
      <c r="I59" s="460" t="str">
        <f t="shared" si="7"/>
        <v>[fr]Inhalte: GWÖ-Matrix Entwicklungsteam</v>
      </c>
      <c r="J59" s="460" t="str">
        <f t="shared" si="8"/>
        <v>[pt]Inhalte: GWÖ-Matrix Entwicklungsteam</v>
      </c>
      <c r="K59" s="460" t="str">
        <f t="shared" si="6"/>
        <v>[gr]Inhalte: GWÖ-Matrix Entwicklungsteam</v>
      </c>
    </row>
    <row r="60" spans="2:11" ht="15.75" customHeight="1">
      <c r="D60" s="459" t="str">
        <f t="shared" si="5"/>
        <v>NOTES</v>
      </c>
      <c r="E60" s="460" t="s">
        <v>876</v>
      </c>
      <c r="F60" s="460" t="s">
        <v>877</v>
      </c>
      <c r="G60" s="466" t="s">
        <v>878</v>
      </c>
      <c r="H60" s="460" t="s">
        <v>879</v>
      </c>
      <c r="I60" s="460" t="str">
        <f t="shared" si="7"/>
        <v>[fr]ANMERKUNGEN</v>
      </c>
      <c r="J60" s="460" t="str">
        <f t="shared" si="8"/>
        <v>[pt]ANMERKUNGEN</v>
      </c>
      <c r="K60" s="460" t="str">
        <f t="shared" si="6"/>
        <v>[gr]ANMERKUNGEN</v>
      </c>
    </row>
    <row r="61" spans="2:11" ht="68.25" customHeight="1">
      <c r="D61" s="459" t="str">
        <f t="shared" si="5"/>
        <v>All sheets are optimised for printing on A4 format (landscape or portrait).
The height of rows can be adjusted, if you enter more text</v>
      </c>
      <c r="E61" s="460" t="s">
        <v>880</v>
      </c>
      <c r="F61" s="460" t="s">
        <v>881</v>
      </c>
      <c r="G61" s="466" t="s">
        <v>882</v>
      </c>
      <c r="H61" s="460" t="s">
        <v>883</v>
      </c>
      <c r="I61" s="460" t="str">
        <f t="shared" si="7"/>
        <v>[fr]Alle Tabellen sind optimiert für den Ausdruck auf A4 (Hoch- oder Querformat).
Die Höhe der Zeilen ist veränderbar, falls Sie mehr Text eingeben wollen.</v>
      </c>
      <c r="J61" s="460" t="str">
        <f t="shared" si="8"/>
        <v>[pt]Alle Tabellen sind optimiert für den Ausdruck auf A4 (Hoch- oder Querformat).
Die Höhe der Zeilen ist veränderbar, falls Sie mehr Text eingeben wollen.</v>
      </c>
      <c r="K61" s="460" t="str">
        <f t="shared" si="6"/>
        <v>[gr]Alle Tabellen sind optimiert für den Ausdruck auf A4 (Hoch- oder Querformat).
Die Höhe der Zeilen ist veränderbar, falls Sie mehr Text eingeben wollen.</v>
      </c>
    </row>
    <row r="62" spans="2:11" ht="15.75" customHeight="1">
      <c r="D62" s="459" t="str">
        <f t="shared" si="5"/>
        <v>GENERAL INFORMATION ABOUT THE COMPANY</v>
      </c>
      <c r="E62" s="460" t="s">
        <v>884</v>
      </c>
      <c r="F62" s="460" t="s">
        <v>885</v>
      </c>
      <c r="G62" s="466" t="s">
        <v>886</v>
      </c>
      <c r="H62" s="460" t="s">
        <v>887</v>
      </c>
      <c r="I62" s="460" t="str">
        <f t="shared" si="7"/>
        <v>[fr]ALLGEMEINE ANGABEN ZUM UNTERNEHMEN</v>
      </c>
      <c r="J62" s="460" t="str">
        <f t="shared" si="8"/>
        <v>[pt]ALLGEMEINE ANGABEN ZUM UNTERNEHMEN</v>
      </c>
      <c r="K62" s="460" t="str">
        <f t="shared" si="6"/>
        <v>[gr]ALLGEMEINE ANGABEN ZUM UNTERNEHMEN</v>
      </c>
    </row>
    <row r="63" spans="2:11" ht="15.75" customHeight="1">
      <c r="D63" s="459" t="str">
        <f t="shared" si="5"/>
        <v>Please complete all fields.</v>
      </c>
      <c r="E63" s="460" t="s">
        <v>888</v>
      </c>
      <c r="F63" s="460" t="s">
        <v>889</v>
      </c>
      <c r="G63" s="466" t="s">
        <v>890</v>
      </c>
      <c r="H63" s="460" t="s">
        <v>891</v>
      </c>
      <c r="I63" s="460" t="str">
        <f t="shared" si="7"/>
        <v>[fr]Bitte vollständig ausfüllen!</v>
      </c>
      <c r="J63" s="460" t="str">
        <f t="shared" si="8"/>
        <v>[pt]Bitte vollständig ausfüllen!</v>
      </c>
      <c r="K63" s="460" t="str">
        <f t="shared" si="6"/>
        <v>[gr]Bitte vollständig ausfüllen!</v>
      </c>
    </row>
    <row r="64" spans="2:11" ht="15.75" customHeight="1">
      <c r="D64" s="459" t="str">
        <f t="shared" si="5"/>
        <v>Name of Company / Organisation:</v>
      </c>
      <c r="E64" s="460" t="s">
        <v>892</v>
      </c>
      <c r="F64" s="460" t="s">
        <v>893</v>
      </c>
      <c r="G64" s="466" t="s">
        <v>894</v>
      </c>
      <c r="H64" s="460" t="s">
        <v>895</v>
      </c>
      <c r="I64" s="460" t="str">
        <f t="shared" si="7"/>
        <v>[fr]Name des Unternehmens:</v>
      </c>
      <c r="J64" s="460" t="str">
        <f t="shared" si="8"/>
        <v>[pt]Name des Unternehmens:</v>
      </c>
      <c r="K64" s="460" t="str">
        <f t="shared" si="6"/>
        <v>[gr]Name des Unternehmens:</v>
      </c>
    </row>
    <row r="65" spans="4:11" ht="15.75" customHeight="1">
      <c r="D65" s="459" t="str">
        <f t="shared" si="5"/>
        <v>Address:</v>
      </c>
      <c r="E65" s="460" t="s">
        <v>896</v>
      </c>
      <c r="F65" s="460" t="s">
        <v>897</v>
      </c>
      <c r="G65" s="466" t="s">
        <v>898</v>
      </c>
      <c r="H65" s="460" t="s">
        <v>899</v>
      </c>
      <c r="I65" s="460" t="str">
        <f t="shared" si="7"/>
        <v>[fr]Anschrift:</v>
      </c>
      <c r="J65" s="460" t="str">
        <f t="shared" si="8"/>
        <v>[pt]Anschrift:</v>
      </c>
      <c r="K65" s="460" t="str">
        <f t="shared" si="6"/>
        <v>[gr]Anschrift:</v>
      </c>
    </row>
    <row r="66" spans="4:11" ht="15.75" customHeight="1">
      <c r="D66" s="459" t="str">
        <f t="shared" si="5"/>
        <v>Country:</v>
      </c>
      <c r="E66" s="460" t="s">
        <v>900</v>
      </c>
      <c r="F66" s="460" t="s">
        <v>901</v>
      </c>
      <c r="G66" s="466" t="s">
        <v>902</v>
      </c>
      <c r="H66" s="460" t="s">
        <v>903</v>
      </c>
      <c r="I66" s="460" t="str">
        <f t="shared" si="7"/>
        <v>[fr]Staat:</v>
      </c>
      <c r="J66" s="460" t="str">
        <f t="shared" si="8"/>
        <v>[pt]Staat:</v>
      </c>
      <c r="K66" s="460" t="str">
        <f t="shared" si="6"/>
        <v>[gr]Staat:</v>
      </c>
    </row>
    <row r="67" spans="4:11" ht="15.75" customHeight="1">
      <c r="D67" s="459" t="str">
        <f t="shared" si="5"/>
        <v>Industry sector:</v>
      </c>
      <c r="E67" s="460" t="s">
        <v>904</v>
      </c>
      <c r="F67" s="460" t="s">
        <v>905</v>
      </c>
      <c r="G67" s="466" t="s">
        <v>906</v>
      </c>
      <c r="H67" s="460" t="s">
        <v>907</v>
      </c>
      <c r="I67" s="460" t="str">
        <f t="shared" si="7"/>
        <v>[fr]Branche:</v>
      </c>
      <c r="J67" s="460" t="str">
        <f t="shared" si="8"/>
        <v>[pt]Branche:</v>
      </c>
      <c r="K67" s="460" t="str">
        <f t="shared" si="6"/>
        <v>[gr]Branche:</v>
      </c>
    </row>
    <row r="68" spans="4:11" ht="15.75" customHeight="1">
      <c r="D68" s="459" t="str">
        <f t="shared" si="5"/>
        <v>Website:</v>
      </c>
      <c r="E68" s="460" t="s">
        <v>908</v>
      </c>
      <c r="F68" s="460" t="s">
        <v>909</v>
      </c>
      <c r="G68" s="466" t="s">
        <v>908</v>
      </c>
      <c r="H68" s="460" t="s">
        <v>910</v>
      </c>
      <c r="I68" s="460" t="str">
        <f t="shared" si="7"/>
        <v>[fr]Website:</v>
      </c>
      <c r="J68" s="460" t="str">
        <f t="shared" si="8"/>
        <v>[pt]Website:</v>
      </c>
      <c r="K68" s="460" t="str">
        <f t="shared" si="6"/>
        <v>[gr]Website:</v>
      </c>
    </row>
    <row r="69" spans="4:11" ht="15.75" customHeight="1">
      <c r="D69" s="459" t="str">
        <f t="shared" si="5"/>
        <v>Number of employees</v>
      </c>
      <c r="E69" s="460" t="s">
        <v>911</v>
      </c>
      <c r="F69" s="460" t="s">
        <v>912</v>
      </c>
      <c r="G69" s="466" t="s">
        <v>913</v>
      </c>
      <c r="H69" s="460" t="s">
        <v>914</v>
      </c>
      <c r="I69" s="460" t="str">
        <f t="shared" si="7"/>
        <v>[fr]Anzahl der MitarbeiterInnen:</v>
      </c>
      <c r="J69" s="460" t="str">
        <f t="shared" si="8"/>
        <v>[pt]Anzahl der MitarbeiterInnen:</v>
      </c>
      <c r="K69" s="460" t="str">
        <f t="shared" si="6"/>
        <v>[gr]Anzahl der MitarbeiterInnen:</v>
      </c>
    </row>
    <row r="70" spans="4:11" ht="15.75" customHeight="1">
      <c r="D70" s="459" t="str">
        <f t="shared" si="5"/>
        <v>Sole trader (ST) (or single-person)</v>
      </c>
      <c r="E70" s="460" t="s">
        <v>915</v>
      </c>
      <c r="F70" s="460" t="s">
        <v>916</v>
      </c>
      <c r="G70" s="466" t="s">
        <v>917</v>
      </c>
      <c r="H70" s="460" t="s">
        <v>918</v>
      </c>
      <c r="I70" s="460" t="str">
        <f t="shared" si="7"/>
        <v>[fr]Ein-Personen-Unternehmen:</v>
      </c>
      <c r="J70" s="460" t="str">
        <f t="shared" si="8"/>
        <v>[pt]Ein-Personen-Unternehmen:</v>
      </c>
      <c r="K70" s="460" t="str">
        <f t="shared" si="6"/>
        <v>[gr]Ein-Personen-Unternehmen:</v>
      </c>
    </row>
    <row r="71" spans="4:11" ht="41.85" customHeight="1">
      <c r="D71" s="459" t="str">
        <f t="shared" si="5"/>
        <v>(Note: If yes, the values for STs will be filled in automatically for the calculation)</v>
      </c>
      <c r="E71" s="460" t="s">
        <v>919</v>
      </c>
      <c r="F71" s="460" t="s">
        <v>920</v>
      </c>
      <c r="G71" s="466" t="s">
        <v>921</v>
      </c>
      <c r="H71" s="460" t="s">
        <v>922</v>
      </c>
      <c r="I71" s="460" t="str">
        <f t="shared" si="7"/>
        <v>[fr](Hinweis: Wenn ja, werden die für EPUs gültigen Werte automatisch in die Berechnung übernommen.)</v>
      </c>
      <c r="J71" s="460" t="str">
        <f t="shared" si="8"/>
        <v>[pt](Hinweis: Wenn ja, werden die für EPUs gültigen Werte automatisch in die Berechnung übernommen.)</v>
      </c>
      <c r="K71" s="460" t="str">
        <f t="shared" si="6"/>
        <v>[gr](Hinweis: Wenn ja, werden die für EPUs gültigen Werte automatisch in die Berechnung übernommen.)</v>
      </c>
    </row>
    <row r="72" spans="4:11" ht="15.75" customHeight="1">
      <c r="D72" s="459" t="str">
        <f t="shared" si="5"/>
        <v>Balance year:</v>
      </c>
      <c r="E72" s="460" t="s">
        <v>923</v>
      </c>
      <c r="F72" s="460" t="s">
        <v>924</v>
      </c>
      <c r="G72" s="466" t="s">
        <v>925</v>
      </c>
      <c r="H72" s="460" t="s">
        <v>926</v>
      </c>
      <c r="I72" s="460" t="str">
        <f t="shared" si="7"/>
        <v>[fr]Bilanzjahr:</v>
      </c>
      <c r="J72" s="460" t="str">
        <f t="shared" si="8"/>
        <v>[pt]Bilanzjahr:</v>
      </c>
      <c r="K72" s="460" t="str">
        <f t="shared" si="6"/>
        <v>[gr]Bilanzjahr:</v>
      </c>
    </row>
    <row r="73" spans="4:11" ht="15.75" customHeight="1">
      <c r="D73" s="459" t="str">
        <f t="shared" si="5"/>
        <v>Document created by:</v>
      </c>
      <c r="E73" s="460" t="s">
        <v>927</v>
      </c>
      <c r="F73" s="460" t="s">
        <v>928</v>
      </c>
      <c r="G73" s="466" t="s">
        <v>929</v>
      </c>
      <c r="H73" s="460" t="s">
        <v>930</v>
      </c>
      <c r="I73" s="460" t="str">
        <f t="shared" si="7"/>
        <v>[fr]ErstellerIn:</v>
      </c>
      <c r="J73" s="460" t="str">
        <f t="shared" si="8"/>
        <v>[pt]ErstellerIn:</v>
      </c>
      <c r="K73" s="460" t="str">
        <f t="shared" si="6"/>
        <v>[gr]ErstellerIn:</v>
      </c>
    </row>
    <row r="74" spans="4:11" ht="15.75" customHeight="1">
      <c r="D74" s="459" t="str">
        <f t="shared" si="5"/>
        <v>Email address:</v>
      </c>
      <c r="E74" s="460" t="s">
        <v>931</v>
      </c>
      <c r="F74" s="460" t="s">
        <v>932</v>
      </c>
      <c r="G74" s="466" t="s">
        <v>933</v>
      </c>
      <c r="H74" s="460" t="s">
        <v>934</v>
      </c>
      <c r="I74" s="460" t="str">
        <f t="shared" si="7"/>
        <v>[fr]E-Mail-Adresse:</v>
      </c>
      <c r="J74" s="460" t="str">
        <f t="shared" si="8"/>
        <v>[pt]E-Mail-Adresse:</v>
      </c>
      <c r="K74" s="460" t="str">
        <f t="shared" si="6"/>
        <v>[gr]E-Mail-Adresse:</v>
      </c>
    </row>
    <row r="75" spans="4:11" ht="15.75" customHeight="1">
      <c r="D75" s="459" t="str">
        <f t="shared" si="5"/>
        <v>Phone number:</v>
      </c>
      <c r="E75" s="460" t="s">
        <v>935</v>
      </c>
      <c r="F75" s="460" t="s">
        <v>936</v>
      </c>
      <c r="G75" s="466" t="s">
        <v>937</v>
      </c>
      <c r="H75" s="460" t="s">
        <v>938</v>
      </c>
      <c r="I75" s="460" t="str">
        <f t="shared" si="7"/>
        <v>[fr]Telefonnummer:</v>
      </c>
      <c r="J75" s="460" t="str">
        <f t="shared" si="8"/>
        <v>[pt]Telefonnummer:</v>
      </c>
      <c r="K75" s="460" t="str">
        <f t="shared" si="6"/>
        <v>[gr]Telefonnummer:</v>
      </c>
    </row>
    <row r="76" spans="4:11" ht="15.75" customHeight="1">
      <c r="D76" s="459" t="str">
        <f t="shared" si="5"/>
        <v>Consultant:</v>
      </c>
      <c r="E76" s="460" t="s">
        <v>939</v>
      </c>
      <c r="F76" s="460" t="s">
        <v>940</v>
      </c>
      <c r="G76" s="466" t="s">
        <v>941</v>
      </c>
      <c r="H76" s="460" t="s">
        <v>942</v>
      </c>
      <c r="I76" s="460" t="str">
        <f t="shared" si="7"/>
        <v>[fr]BeraterIn:</v>
      </c>
      <c r="J76" s="460" t="str">
        <f t="shared" si="8"/>
        <v>[pt]BeraterIn:</v>
      </c>
      <c r="K76" s="460" t="str">
        <f t="shared" si="6"/>
        <v>[gr]BeraterIn:</v>
      </c>
    </row>
    <row r="77" spans="4:11" ht="15.75" customHeight="1">
      <c r="D77" s="459" t="str">
        <f t="shared" si="5"/>
        <v>E-mail address:</v>
      </c>
      <c r="E77" s="460" t="s">
        <v>931</v>
      </c>
      <c r="F77" s="460" t="s">
        <v>932</v>
      </c>
      <c r="G77" s="466" t="s">
        <v>943</v>
      </c>
      <c r="H77" s="460" t="s">
        <v>934</v>
      </c>
      <c r="I77" s="460" t="str">
        <f t="shared" si="7"/>
        <v>[fr]E-Mail-Adresse:</v>
      </c>
      <c r="J77" s="460" t="str">
        <f t="shared" si="8"/>
        <v>[pt]E-Mail-Adresse:</v>
      </c>
      <c r="K77" s="460" t="str">
        <f t="shared" si="6"/>
        <v>[gr]E-Mail-Adresse:</v>
      </c>
    </row>
    <row r="78" spans="4:11" ht="15.75" customHeight="1">
      <c r="D78" s="459" t="str">
        <f t="shared" si="5"/>
        <v>Phone Number</v>
      </c>
      <c r="E78" s="460" t="s">
        <v>935</v>
      </c>
      <c r="F78" s="460" t="s">
        <v>936</v>
      </c>
      <c r="G78" s="466" t="s">
        <v>944</v>
      </c>
      <c r="H78" s="460" t="s">
        <v>938</v>
      </c>
      <c r="I78" s="460" t="str">
        <f t="shared" si="7"/>
        <v>[fr]Telefonnummer:</v>
      </c>
      <c r="J78" s="460" t="str">
        <f t="shared" si="8"/>
        <v>[pt]Telefonnummer:</v>
      </c>
      <c r="K78" s="460" t="str">
        <f t="shared" si="6"/>
        <v>[gr]Telefonnummer:</v>
      </c>
    </row>
    <row r="79" spans="4:11" ht="28.5" customHeight="1">
      <c r="D79" s="459" t="str">
        <f t="shared" si="5"/>
        <v>Short description of Company / Organisation</v>
      </c>
      <c r="E79" s="460" t="s">
        <v>945</v>
      </c>
      <c r="F79" s="460" t="s">
        <v>946</v>
      </c>
      <c r="G79" s="466" t="s">
        <v>947</v>
      </c>
      <c r="H79" s="460" t="s">
        <v>948</v>
      </c>
      <c r="I79" s="460" t="str">
        <f t="shared" si="7"/>
        <v>[fr]Kurzbeschreibung
des Unternehmens:</v>
      </c>
      <c r="J79" s="460" t="str">
        <f t="shared" si="8"/>
        <v>[pt]Kurzbeschreibung
des Unternehmens:</v>
      </c>
      <c r="K79" s="460" t="str">
        <f t="shared" si="6"/>
        <v>[gr]Kurzbeschreibung
des Unternehmens:</v>
      </c>
    </row>
    <row r="80" spans="4:11" ht="15.75" customHeight="1">
      <c r="D80" s="459" t="str">
        <f t="shared" si="5"/>
        <v>Additional comments:</v>
      </c>
      <c r="E80" s="460" t="s">
        <v>949</v>
      </c>
      <c r="F80" s="460" t="s">
        <v>950</v>
      </c>
      <c r="G80" s="466" t="s">
        <v>951</v>
      </c>
      <c r="H80" s="460" t="s">
        <v>952</v>
      </c>
      <c r="I80" s="460" t="str">
        <f t="shared" si="7"/>
        <v>[fr]Sonstige Anmerkungen:</v>
      </c>
      <c r="J80" s="460" t="str">
        <f t="shared" si="8"/>
        <v>[pt]Sonstige Anmerkungen:</v>
      </c>
      <c r="K80" s="460" t="str">
        <f t="shared" si="6"/>
        <v>[gr]Sonstige Anmerkungen:</v>
      </c>
    </row>
    <row r="81" spans="4:11" ht="15.75" customHeight="1">
      <c r="D81" s="459" t="str">
        <f t="shared" si="5"/>
        <v>CALCULATION OF INDIVIDUAL INDICATORS</v>
      </c>
      <c r="E81" s="465" t="s">
        <v>953</v>
      </c>
      <c r="F81" s="460" t="s">
        <v>954</v>
      </c>
      <c r="G81" s="466" t="s">
        <v>955</v>
      </c>
      <c r="H81" s="460" t="s">
        <v>956</v>
      </c>
      <c r="I81" s="460" t="str">
        <f t="shared" si="7"/>
        <v>[fr]BERECHNUNG DER EINZELNEN THEMEN</v>
      </c>
      <c r="J81" s="460" t="str">
        <f t="shared" si="8"/>
        <v>[pt]BERECHNUNG DER EINZELNEN THEMEN</v>
      </c>
      <c r="K81" s="460" t="str">
        <f t="shared" si="6"/>
        <v>[gr]BERECHNUNG DER EINZELNEN THEMEN</v>
      </c>
    </row>
    <row r="82" spans="4:11" ht="15.75" customHeight="1">
      <c r="D82" s="459" t="str">
        <f t="shared" si="5"/>
        <v>Company / Organisation</v>
      </c>
      <c r="E82" s="460" t="s">
        <v>957</v>
      </c>
      <c r="F82" s="460" t="s">
        <v>958</v>
      </c>
      <c r="G82" s="466" t="s">
        <v>959</v>
      </c>
      <c r="H82" s="460" t="s">
        <v>960</v>
      </c>
      <c r="I82" s="460" t="str">
        <f t="shared" si="7"/>
        <v>[fr]Unternehmen</v>
      </c>
      <c r="J82" s="460" t="s">
        <v>961</v>
      </c>
      <c r="K82" s="460" t="str">
        <f t="shared" si="6"/>
        <v>[gr]Unternehmen</v>
      </c>
    </row>
    <row r="83" spans="4:11" ht="15.75" customHeight="1">
      <c r="D83" s="459" t="str">
        <f t="shared" si="5"/>
        <v>Period under review</v>
      </c>
      <c r="E83" s="460" t="s">
        <v>962</v>
      </c>
      <c r="F83" s="460" t="s">
        <v>963</v>
      </c>
      <c r="G83" s="466" t="s">
        <v>964</v>
      </c>
      <c r="H83" s="460" t="s">
        <v>926</v>
      </c>
      <c r="I83" s="460" t="str">
        <f t="shared" si="7"/>
        <v>[fr]Bilanz-Jahr</v>
      </c>
      <c r="J83" s="460" t="s">
        <v>965</v>
      </c>
      <c r="K83" s="460" t="str">
        <f t="shared" si="6"/>
        <v>[gr]Bilanz-Jahr</v>
      </c>
    </row>
    <row r="84" spans="4:11" ht="15.75" customHeight="1">
      <c r="D84" s="459">
        <f t="shared" si="5"/>
        <v>0</v>
      </c>
      <c r="E84" s="460"/>
      <c r="G84" s="466"/>
      <c r="H84" s="460"/>
      <c r="I84" s="460"/>
      <c r="J84" s="460"/>
      <c r="K84" s="460"/>
    </row>
    <row r="85" spans="4:11" ht="15.75" customHeight="1">
      <c r="D85" s="459">
        <f t="shared" si="5"/>
        <v>0</v>
      </c>
      <c r="E85" s="460"/>
      <c r="G85" s="466"/>
      <c r="H85" s="460"/>
      <c r="I85" s="460"/>
      <c r="J85" s="460"/>
      <c r="K85" s="460"/>
    </row>
    <row r="86" spans="4:11" ht="15.75" customHeight="1">
      <c r="D86" s="459">
        <f t="shared" si="5"/>
        <v>0</v>
      </c>
      <c r="E86" s="460"/>
      <c r="G86" s="466"/>
      <c r="H86" s="460"/>
      <c r="I86" s="460"/>
      <c r="J86" s="460"/>
      <c r="K86" s="460"/>
    </row>
    <row r="87" spans="4:11" ht="15.75" customHeight="1">
      <c r="D87" s="459">
        <f t="shared" si="5"/>
        <v>0</v>
      </c>
      <c r="E87" s="460"/>
      <c r="G87" s="466"/>
      <c r="H87" s="460"/>
      <c r="I87" s="460"/>
      <c r="J87" s="460"/>
      <c r="K87" s="460"/>
    </row>
    <row r="88" spans="4:11" ht="15.75" customHeight="1">
      <c r="D88" s="459">
        <f t="shared" si="5"/>
        <v>0</v>
      </c>
      <c r="E88" s="460"/>
      <c r="G88" s="466"/>
      <c r="H88" s="460"/>
      <c r="I88" s="460"/>
      <c r="J88" s="460"/>
      <c r="K88" s="460"/>
    </row>
    <row r="89" spans="4:11" ht="15.75" customHeight="1">
      <c r="D89" s="459">
        <f t="shared" si="5"/>
        <v>0</v>
      </c>
      <c r="E89" s="460"/>
      <c r="G89" s="466"/>
      <c r="H89" s="460"/>
      <c r="I89" s="460"/>
      <c r="J89" s="460"/>
      <c r="K89" s="460"/>
    </row>
    <row r="90" spans="4:11" ht="15.75" customHeight="1">
      <c r="D90" s="459" t="str">
        <f t="shared" si="5"/>
        <v>CALCULATION OF INDIVIDUAL ASPECTS</v>
      </c>
      <c r="E90" s="460" t="s">
        <v>966</v>
      </c>
      <c r="F90" s="460" t="s">
        <v>967</v>
      </c>
      <c r="G90" s="466" t="s">
        <v>968</v>
      </c>
      <c r="H90" s="460" t="s">
        <v>969</v>
      </c>
      <c r="I90" s="460" t="str">
        <f t="shared" ref="I90:I158" si="9">"[fr]"&amp;E90</f>
        <v>[fr]BERECHNUNG DER EINZELNEN ASPEKTE</v>
      </c>
      <c r="J90" s="479" t="s">
        <v>970</v>
      </c>
      <c r="K90" s="460" t="str">
        <f t="shared" ref="K90:K122" si="10">"[gr]"&amp;E90</f>
        <v>[gr]BERECHNUNG DER EINZELNEN ASPEKTE</v>
      </c>
    </row>
    <row r="91" spans="4:11" ht="15.75" customHeight="1">
      <c r="D91" s="459" t="str">
        <f t="shared" si="5"/>
        <v>Common Good Balance Calculator</v>
      </c>
      <c r="E91" s="460" t="s">
        <v>971</v>
      </c>
      <c r="F91" s="467" t="s">
        <v>972</v>
      </c>
      <c r="G91" s="466" t="s">
        <v>973</v>
      </c>
      <c r="H91" s="460" t="s">
        <v>974</v>
      </c>
      <c r="I91" s="460" t="str">
        <f t="shared" si="9"/>
        <v>[fr]Gemeinwohl-Bilanz-Rechner</v>
      </c>
      <c r="J91" s="460" t="s">
        <v>975</v>
      </c>
      <c r="K91" s="460" t="str">
        <f t="shared" si="10"/>
        <v>[gr]Gemeinwohl-Bilanz-Rechner</v>
      </c>
    </row>
    <row r="92" spans="4:11" ht="15.75" customHeight="1">
      <c r="D92" s="459" t="str">
        <f t="shared" si="5"/>
        <v>Total Balance Score:</v>
      </c>
      <c r="E92" s="460" t="s">
        <v>976</v>
      </c>
      <c r="F92" s="460" t="s">
        <v>977</v>
      </c>
      <c r="G92" s="466" t="s">
        <v>978</v>
      </c>
      <c r="H92" s="460" t="s">
        <v>979</v>
      </c>
      <c r="I92" s="460" t="str">
        <f t="shared" si="9"/>
        <v>[fr]BILANZSUMME:</v>
      </c>
      <c r="J92" s="460" t="s">
        <v>980</v>
      </c>
      <c r="K92" s="460" t="str">
        <f t="shared" si="10"/>
        <v>[gr]BILANZSUMME:</v>
      </c>
    </row>
    <row r="93" spans="4:11" ht="15.75" customHeight="1">
      <c r="D93" s="459" t="str">
        <f t="shared" si="5"/>
        <v>No.</v>
      </c>
      <c r="E93" s="460" t="s">
        <v>981</v>
      </c>
      <c r="F93" s="460" t="s">
        <v>982</v>
      </c>
      <c r="G93" s="466" t="s">
        <v>983</v>
      </c>
      <c r="H93" s="460" t="s">
        <v>984</v>
      </c>
      <c r="I93" s="460" t="str">
        <f t="shared" si="9"/>
        <v>[fr]Nr.</v>
      </c>
      <c r="J93" s="460" t="str">
        <f>"[pt]"&amp;E93</f>
        <v>[pt]Nr.</v>
      </c>
      <c r="K93" s="460" t="str">
        <f t="shared" si="10"/>
        <v>[gr]Nr.</v>
      </c>
    </row>
    <row r="94" spans="4:11" ht="15.75" customHeight="1">
      <c r="D94" s="459" t="str">
        <f t="shared" si="5"/>
        <v xml:space="preserve">Stakeholders </v>
      </c>
      <c r="E94" s="460" t="s">
        <v>985</v>
      </c>
      <c r="F94" s="460" t="s">
        <v>986</v>
      </c>
      <c r="G94" s="466" t="s">
        <v>987</v>
      </c>
      <c r="H94" s="460" t="s">
        <v>988</v>
      </c>
      <c r="I94" s="460" t="str">
        <f t="shared" si="9"/>
        <v>[fr]Berührungsgruppe</v>
      </c>
      <c r="J94" s="460" t="str">
        <f>"[pt]"&amp;E94</f>
        <v>[pt]Berührungsgruppe</v>
      </c>
      <c r="K94" s="460" t="str">
        <f t="shared" si="10"/>
        <v>[gr]Berührungsgruppe</v>
      </c>
    </row>
    <row r="95" spans="4:11" ht="15.75" customHeight="1">
      <c r="D95" s="459" t="str">
        <f t="shared" si="5"/>
        <v>Stakeholders/Indicators/Criteria</v>
      </c>
      <c r="E95" s="465" t="s">
        <v>989</v>
      </c>
      <c r="F95" s="460" t="s">
        <v>990</v>
      </c>
      <c r="G95" s="466" t="s">
        <v>991</v>
      </c>
      <c r="H95" s="460" t="s">
        <v>992</v>
      </c>
      <c r="I95" s="460" t="str">
        <f t="shared" si="9"/>
        <v>[fr]Berührungsgruppe/Themen/Aspekte</v>
      </c>
      <c r="J95" s="460" t="str">
        <f>"[pt]"&amp;E95</f>
        <v>[pt]Berührungsgruppe/Themen/Aspekte</v>
      </c>
      <c r="K95" s="460" t="str">
        <f t="shared" si="10"/>
        <v>[gr]Berührungsgruppe/Themen/Aspekte</v>
      </c>
    </row>
    <row r="96" spans="4:11" ht="15.75" customHeight="1">
      <c r="D96" s="459" t="str">
        <f t="shared" si="5"/>
        <v>Weight</v>
      </c>
      <c r="E96" s="460" t="s">
        <v>993</v>
      </c>
      <c r="F96" s="460" t="s">
        <v>994</v>
      </c>
      <c r="G96" s="466" t="s">
        <v>995</v>
      </c>
      <c r="H96" s="460" t="s">
        <v>996</v>
      </c>
      <c r="I96" s="460" t="str">
        <f t="shared" si="9"/>
        <v>[fr]Gewichtung</v>
      </c>
      <c r="J96" s="460" t="s">
        <v>994</v>
      </c>
      <c r="K96" s="460" t="str">
        <f t="shared" si="10"/>
        <v>[gr]Gewichtung</v>
      </c>
    </row>
    <row r="97" spans="2:11" ht="15.75" customHeight="1">
      <c r="C97" s="480">
        <v>4</v>
      </c>
      <c r="D97" s="459" t="str">
        <f t="shared" si="5"/>
        <v>very high</v>
      </c>
      <c r="E97" s="460" t="s">
        <v>152</v>
      </c>
      <c r="F97" s="460" t="s">
        <v>997</v>
      </c>
      <c r="G97" s="466" t="s">
        <v>998</v>
      </c>
      <c r="H97" s="460" t="s">
        <v>999</v>
      </c>
      <c r="I97" s="460" t="str">
        <f t="shared" si="9"/>
        <v>[fr]sehr hoch</v>
      </c>
      <c r="J97" s="460" t="str">
        <f>"[pt]"&amp;E97</f>
        <v>[pt]sehr hoch</v>
      </c>
      <c r="K97" s="460" t="str">
        <f t="shared" si="10"/>
        <v>[gr]sehr hoch</v>
      </c>
    </row>
    <row r="98" spans="2:11" ht="15.75" customHeight="1">
      <c r="C98" s="480">
        <v>3</v>
      </c>
      <c r="D98" s="459" t="str">
        <f t="shared" si="5"/>
        <v>high</v>
      </c>
      <c r="E98" s="460" t="s">
        <v>151</v>
      </c>
      <c r="F98" s="460" t="s">
        <v>1000</v>
      </c>
      <c r="G98" s="466" t="s">
        <v>1001</v>
      </c>
      <c r="H98" s="460" t="s">
        <v>1002</v>
      </c>
      <c r="I98" s="460" t="str">
        <f t="shared" si="9"/>
        <v>[fr]hoch</v>
      </c>
      <c r="J98" s="460" t="str">
        <f>"[pt]"&amp;E98</f>
        <v>[pt]hoch</v>
      </c>
      <c r="K98" s="460" t="str">
        <f t="shared" si="10"/>
        <v>[gr]hoch</v>
      </c>
    </row>
    <row r="99" spans="2:11" ht="15.75" customHeight="1">
      <c r="C99" s="480">
        <v>2</v>
      </c>
      <c r="D99" s="459" t="str">
        <f t="shared" si="5"/>
        <v>medium</v>
      </c>
      <c r="E99" s="460" t="s">
        <v>150</v>
      </c>
      <c r="F99" s="460" t="s">
        <v>1003</v>
      </c>
      <c r="G99" s="466" t="s">
        <v>1004</v>
      </c>
      <c r="H99" s="460" t="s">
        <v>1005</v>
      </c>
      <c r="I99" s="460" t="str">
        <f t="shared" si="9"/>
        <v>[fr]mittel</v>
      </c>
      <c r="J99" s="460" t="str">
        <f>"[pt]"&amp;E99</f>
        <v>[pt]mittel</v>
      </c>
      <c r="K99" s="460" t="str">
        <f t="shared" si="10"/>
        <v>[gr]mittel</v>
      </c>
    </row>
    <row r="100" spans="2:11" ht="15.75" customHeight="1">
      <c r="C100" s="480">
        <v>1</v>
      </c>
      <c r="D100" s="459" t="str">
        <f t="shared" si="5"/>
        <v>low</v>
      </c>
      <c r="E100" s="460" t="s">
        <v>149</v>
      </c>
      <c r="F100" s="460" t="s">
        <v>1006</v>
      </c>
      <c r="G100" s="466" t="s">
        <v>1007</v>
      </c>
      <c r="H100" s="460" t="s">
        <v>1008</v>
      </c>
      <c r="I100" s="460" t="str">
        <f t="shared" si="9"/>
        <v>[fr]niedrig</v>
      </c>
      <c r="J100" s="460" t="str">
        <f>"[pt]"&amp;E100</f>
        <v>[pt]niedrig</v>
      </c>
      <c r="K100" s="460" t="str">
        <f t="shared" si="10"/>
        <v>[gr]niedrig</v>
      </c>
    </row>
    <row r="101" spans="2:11" ht="15.75" customHeight="1">
      <c r="C101" s="480">
        <v>0</v>
      </c>
      <c r="D101" s="459" t="str">
        <f t="shared" si="5"/>
        <v>not applicable</v>
      </c>
      <c r="E101" s="460" t="s">
        <v>148</v>
      </c>
      <c r="F101" s="460" t="s">
        <v>1009</v>
      </c>
      <c r="G101" s="466" t="s">
        <v>1010</v>
      </c>
      <c r="H101" s="460" t="s">
        <v>1011</v>
      </c>
      <c r="I101" s="460" t="str">
        <f t="shared" si="9"/>
        <v>[fr]trifft nicht zu</v>
      </c>
      <c r="J101" s="460" t="str">
        <f>"[pt]"&amp;E101</f>
        <v>[pt]trifft nicht zu</v>
      </c>
      <c r="K101" s="460" t="str">
        <f t="shared" si="10"/>
        <v>[gr]trifft nicht zu</v>
      </c>
    </row>
    <row r="102" spans="2:11" ht="15.75" customHeight="1">
      <c r="D102" s="459" t="str">
        <f t="shared" si="5"/>
        <v>Current status</v>
      </c>
      <c r="E102" s="465" t="s">
        <v>1012</v>
      </c>
      <c r="F102" s="460" t="s">
        <v>1013</v>
      </c>
      <c r="G102" s="466" t="s">
        <v>1014</v>
      </c>
      <c r="H102" s="460" t="s">
        <v>1015</v>
      </c>
      <c r="I102" s="460" t="str">
        <f t="shared" si="9"/>
        <v>[fr]Erläuterung</v>
      </c>
      <c r="J102" s="481" t="s">
        <v>1016</v>
      </c>
      <c r="K102" s="460" t="str">
        <f t="shared" si="10"/>
        <v>[gr]Erläuterung</v>
      </c>
    </row>
    <row r="103" spans="2:11" ht="15.75" customHeight="1">
      <c r="D103" s="459" t="str">
        <f t="shared" si="5"/>
        <v>Potential for improvement</v>
      </c>
      <c r="E103" s="460" t="s">
        <v>1017</v>
      </c>
      <c r="F103" s="460" t="s">
        <v>1018</v>
      </c>
      <c r="G103" s="466" t="s">
        <v>1019</v>
      </c>
      <c r="H103" s="460" t="s">
        <v>1020</v>
      </c>
      <c r="I103" s="460" t="str">
        <f t="shared" si="9"/>
        <v>[fr]Verbesserungspotenzial</v>
      </c>
      <c r="J103" s="460" t="s">
        <v>1021</v>
      </c>
      <c r="K103" s="460" t="str">
        <f t="shared" si="10"/>
        <v>[gr]Verbesserungspotenzial</v>
      </c>
    </row>
    <row r="104" spans="2:11" ht="15.75" customHeight="1">
      <c r="D104" s="459" t="str">
        <f t="shared" si="5"/>
        <v>Est%</v>
      </c>
      <c r="E104" s="460" t="s">
        <v>1022</v>
      </c>
      <c r="F104" s="460" t="s">
        <v>1023</v>
      </c>
      <c r="G104" s="466" t="s">
        <v>1024</v>
      </c>
      <c r="H104" s="460" t="s">
        <v>1025</v>
      </c>
      <c r="I104" s="460" t="str">
        <f t="shared" si="9"/>
        <v>[fr]Erfüll.</v>
      </c>
      <c r="J104" s="460" t="str">
        <f>"[pt]"&amp;E104</f>
        <v>[pt]Erfüll.</v>
      </c>
      <c r="K104" s="460" t="str">
        <f t="shared" si="10"/>
        <v>[gr]Erfüll.</v>
      </c>
    </row>
    <row r="105" spans="2:11" ht="15.75" customHeight="1">
      <c r="D105" s="459" t="str">
        <f t="shared" si="5"/>
        <v>Points</v>
      </c>
      <c r="E105" s="460" t="s">
        <v>1026</v>
      </c>
      <c r="F105" s="460" t="s">
        <v>1027</v>
      </c>
      <c r="G105" s="466" t="s">
        <v>1028</v>
      </c>
      <c r="H105" s="460" t="s">
        <v>1029</v>
      </c>
      <c r="I105" s="460" t="str">
        <f t="shared" si="9"/>
        <v>[fr]Pkte</v>
      </c>
      <c r="J105" s="460" t="str">
        <f>"[pt]"&amp;E105</f>
        <v>[pt]Pkte</v>
      </c>
      <c r="K105" s="460" t="str">
        <f t="shared" si="10"/>
        <v>[gr]Pkte</v>
      </c>
    </row>
    <row r="106" spans="2:11" ht="15.75" customHeight="1">
      <c r="D106" s="459" t="str">
        <f t="shared" si="5"/>
        <v>Max.</v>
      </c>
      <c r="E106" s="460" t="s">
        <v>1030</v>
      </c>
      <c r="F106" s="460" t="s">
        <v>1030</v>
      </c>
      <c r="G106" s="466" t="s">
        <v>1030</v>
      </c>
      <c r="H106" s="460" t="s">
        <v>1030</v>
      </c>
      <c r="I106" s="460" t="str">
        <f t="shared" si="9"/>
        <v>[fr]Max.</v>
      </c>
      <c r="J106" s="460" t="str">
        <f>"[pt]"&amp;E106</f>
        <v>[pt]Max.</v>
      </c>
      <c r="K106" s="460" t="str">
        <f t="shared" si="10"/>
        <v>[gr]Max.</v>
      </c>
    </row>
    <row r="107" spans="2:11" ht="15.75" customHeight="1">
      <c r="D107" s="459" t="str">
        <f t="shared" si="5"/>
        <v>Stakeholders/ Themes/ Aspects</v>
      </c>
      <c r="E107" s="460" t="s">
        <v>989</v>
      </c>
      <c r="F107" s="460" t="s">
        <v>1031</v>
      </c>
      <c r="G107" s="466" t="s">
        <v>1032</v>
      </c>
      <c r="H107" s="460" t="s">
        <v>992</v>
      </c>
      <c r="I107" s="460" t="str">
        <f t="shared" si="9"/>
        <v>[fr]Berührungsgruppe/Themen/Aspekte</v>
      </c>
      <c r="J107" s="460" t="s">
        <v>1033</v>
      </c>
      <c r="K107" s="460" t="str">
        <f t="shared" si="10"/>
        <v>[gr]Berührungsgruppe/Themen/Aspekte</v>
      </c>
    </row>
    <row r="108" spans="2:11" ht="15.75" customHeight="1">
      <c r="B108" s="482" t="str">
        <f>C108&amp;": "&amp;D108</f>
        <v>A: Suppliers</v>
      </c>
      <c r="C108" s="483" t="s">
        <v>13</v>
      </c>
      <c r="D108" s="459" t="str">
        <f t="shared" si="5"/>
        <v>Suppliers</v>
      </c>
      <c r="E108" s="484" t="s">
        <v>1034</v>
      </c>
      <c r="F108" s="485" t="s">
        <v>1035</v>
      </c>
      <c r="G108" s="466" t="s">
        <v>1036</v>
      </c>
      <c r="H108" s="460" t="s">
        <v>1037</v>
      </c>
      <c r="I108" s="460" t="str">
        <f t="shared" si="9"/>
        <v>[fr]Lieferant*innen</v>
      </c>
      <c r="J108" s="486" t="s">
        <v>1038</v>
      </c>
      <c r="K108" s="460" t="str">
        <f t="shared" si="10"/>
        <v>[gr]Lieferant*innen</v>
      </c>
    </row>
    <row r="109" spans="2:11" ht="28.5" customHeight="1">
      <c r="B109" s="457" t="str">
        <f>C109&amp;": "&amp;D109</f>
        <v>A1: Human dignity in the supply chain</v>
      </c>
      <c r="C109" s="487" t="s">
        <v>14</v>
      </c>
      <c r="D109" s="459" t="str">
        <f t="shared" si="5"/>
        <v>Human dignity in the supply chain</v>
      </c>
      <c r="E109" s="488" t="s">
        <v>1039</v>
      </c>
      <c r="F109" s="489" t="s">
        <v>1040</v>
      </c>
      <c r="G109" s="466" t="s">
        <v>1041</v>
      </c>
      <c r="H109" s="460" t="s">
        <v>1042</v>
      </c>
      <c r="I109" s="460" t="str">
        <f t="shared" si="9"/>
        <v>[fr]Menschenwürde in der Zulieferkette</v>
      </c>
      <c r="J109" s="490" t="s">
        <v>1043</v>
      </c>
      <c r="K109" s="460" t="str">
        <f t="shared" si="10"/>
        <v>[gr]Menschenwürde in der Zulieferkette</v>
      </c>
    </row>
    <row r="110" spans="2:11" ht="28.5" customHeight="1">
      <c r="C110" s="491" t="s">
        <v>15</v>
      </c>
      <c r="D110" s="459" t="str">
        <f t="shared" si="5"/>
        <v>Working conditions and social impact in the supply chain</v>
      </c>
      <c r="E110" s="491" t="s">
        <v>1044</v>
      </c>
      <c r="F110" s="460" t="s">
        <v>1045</v>
      </c>
      <c r="G110" s="466" t="s">
        <v>1046</v>
      </c>
      <c r="H110" s="460" t="s">
        <v>1047</v>
      </c>
      <c r="I110" s="460" t="str">
        <f t="shared" si="9"/>
        <v>[fr]Arbeitsbedingungen und gesellschaftliche Auswirkungen in der Zulieferkette</v>
      </c>
      <c r="J110" s="492" t="s">
        <v>1048</v>
      </c>
      <c r="K110" s="460" t="str">
        <f t="shared" si="10"/>
        <v>[gr]Arbeitsbedingungen und gesellschaftliche Auswirkungen in der Zulieferkette</v>
      </c>
    </row>
    <row r="111" spans="2:11" ht="28.5" customHeight="1">
      <c r="C111" s="491" t="s">
        <v>16</v>
      </c>
      <c r="D111" s="459" t="str">
        <f t="shared" si="5"/>
        <v>Negative aspect: violation of human dignity in the supply chain</v>
      </c>
      <c r="E111" s="491" t="s">
        <v>1049</v>
      </c>
      <c r="F111" s="466" t="s">
        <v>1050</v>
      </c>
      <c r="G111" s="466" t="s">
        <v>1051</v>
      </c>
      <c r="H111" s="460" t="s">
        <v>1052</v>
      </c>
      <c r="I111" s="460" t="str">
        <f t="shared" si="9"/>
        <v>[fr]Negativ-Aspekt: Verletzung der Menschenwürde in der Zulieferkette</v>
      </c>
      <c r="J111" s="492" t="s">
        <v>1053</v>
      </c>
      <c r="K111" s="460" t="str">
        <f t="shared" si="10"/>
        <v>[gr]Negativ-Aspekt: Verletzung der Menschenwürde in der Zulieferkette</v>
      </c>
    </row>
    <row r="112" spans="2:11" ht="28.5" customHeight="1">
      <c r="B112" s="457" t="str">
        <f>C112&amp;": "&amp;D112</f>
        <v>A2: Solidarity and social justice in the supply chain</v>
      </c>
      <c r="C112" s="487" t="s">
        <v>17</v>
      </c>
      <c r="D112" s="459" t="str">
        <f t="shared" si="5"/>
        <v>Solidarity and social justice in the supply chain</v>
      </c>
      <c r="E112" s="488" t="s">
        <v>1054</v>
      </c>
      <c r="F112" s="489" t="s">
        <v>1055</v>
      </c>
      <c r="G112" s="466" t="s">
        <v>1056</v>
      </c>
      <c r="H112" s="460" t="s">
        <v>1057</v>
      </c>
      <c r="I112" s="460" t="str">
        <f t="shared" si="9"/>
        <v>[fr]Solidarität und Gerechtigkeit in der Zulieferkette</v>
      </c>
      <c r="J112" s="490" t="s">
        <v>1058</v>
      </c>
      <c r="K112" s="460" t="str">
        <f t="shared" si="10"/>
        <v>[gr]Solidarität und Gerechtigkeit in der Zulieferkette</v>
      </c>
    </row>
    <row r="113" spans="2:12" ht="28.5" customHeight="1">
      <c r="C113" s="491" t="s">
        <v>18</v>
      </c>
      <c r="D113" s="459" t="str">
        <f t="shared" si="5"/>
        <v>Fair business practices towards direct suppliers</v>
      </c>
      <c r="E113" s="491" t="s">
        <v>1059</v>
      </c>
      <c r="F113" s="460" t="s">
        <v>1060</v>
      </c>
      <c r="G113" s="466" t="s">
        <v>1061</v>
      </c>
      <c r="H113" s="460" t="s">
        <v>1062</v>
      </c>
      <c r="I113" s="460" t="str">
        <f t="shared" si="9"/>
        <v>[fr]Faire Geschäftsbeziehungen zu direkten Lieferant*innen</v>
      </c>
      <c r="J113" s="492" t="s">
        <v>1063</v>
      </c>
      <c r="K113" s="460" t="str">
        <f t="shared" si="10"/>
        <v>[gr]Faire Geschäftsbeziehungen zu direkten Lieferant*innen</v>
      </c>
    </row>
    <row r="114" spans="2:12" ht="28.5" customHeight="1">
      <c r="C114" s="491" t="s">
        <v>19</v>
      </c>
      <c r="D114" s="459" t="str">
        <f t="shared" si="5"/>
        <v>Exercising a positive influence on solidarity and social justice in the supply chain</v>
      </c>
      <c r="E114" s="491" t="s">
        <v>1064</v>
      </c>
      <c r="F114" s="460" t="s">
        <v>1065</v>
      </c>
      <c r="G114" s="466" t="s">
        <v>1066</v>
      </c>
      <c r="H114" s="460" t="s">
        <v>1067</v>
      </c>
      <c r="I114" s="460" t="str">
        <f t="shared" si="9"/>
        <v>[fr]Positive Einflussnahme auf Solidarität und Gerechtigkeit in der gesamten Zulieferkette</v>
      </c>
      <c r="J114" s="492" t="s">
        <v>1068</v>
      </c>
      <c r="K114" s="460" t="str">
        <f t="shared" si="10"/>
        <v>[gr]Positive Einflussnahme auf Solidarität und Gerechtigkeit in der gesamten Zulieferkette</v>
      </c>
    </row>
    <row r="115" spans="2:12" ht="28.5" customHeight="1">
      <c r="C115" s="491" t="s">
        <v>20</v>
      </c>
      <c r="D115" s="459" t="str">
        <f t="shared" si="5"/>
        <v>Negative aspect: abuse of market power against suppliers</v>
      </c>
      <c r="E115" s="491" t="s">
        <v>1069</v>
      </c>
      <c r="F115" s="460" t="s">
        <v>1070</v>
      </c>
      <c r="G115" s="466" t="s">
        <v>1071</v>
      </c>
      <c r="H115" s="460" t="s">
        <v>1072</v>
      </c>
      <c r="I115" s="460" t="str">
        <f t="shared" si="9"/>
        <v>[fr]Negativ-Aspekt: Ausnutzung der Marktmacht gegenüber Lieferant*innen</v>
      </c>
      <c r="J115" s="492" t="s">
        <v>1073</v>
      </c>
      <c r="K115" s="460" t="str">
        <f t="shared" si="10"/>
        <v>[gr]Negativ-Aspekt: Ausnutzung der Marktmacht gegenüber Lieferant*innen</v>
      </c>
    </row>
    <row r="116" spans="2:12" ht="28.5" customHeight="1">
      <c r="B116" s="457" t="str">
        <f>C116&amp;": "&amp;D116</f>
        <v>A3: Environmental sustainability in the supply chain</v>
      </c>
      <c r="C116" s="487" t="s">
        <v>21</v>
      </c>
      <c r="D116" s="459" t="str">
        <f t="shared" si="5"/>
        <v>Environmental sustainability in the supply chain</v>
      </c>
      <c r="E116" s="488" t="s">
        <v>1074</v>
      </c>
      <c r="F116" s="489" t="s">
        <v>1075</v>
      </c>
      <c r="G116" s="466" t="s">
        <v>1076</v>
      </c>
      <c r="H116" s="460" t="s">
        <v>1077</v>
      </c>
      <c r="I116" s="460" t="str">
        <f t="shared" si="9"/>
        <v>[fr]Ökologische Nachhaltigkeit in der Zulieferkette</v>
      </c>
      <c r="J116" s="490" t="s">
        <v>1078</v>
      </c>
      <c r="K116" s="460" t="str">
        <f t="shared" si="10"/>
        <v>[gr]Ökologische Nachhaltigkeit in der Zulieferkette</v>
      </c>
    </row>
    <row r="117" spans="2:12" ht="28.5" customHeight="1">
      <c r="C117" s="491" t="s">
        <v>22</v>
      </c>
      <c r="D117" s="459" t="str">
        <f t="shared" si="5"/>
        <v>Environmental impact throughout the supply chain</v>
      </c>
      <c r="E117" s="491" t="s">
        <v>1079</v>
      </c>
      <c r="F117" s="460" t="s">
        <v>1080</v>
      </c>
      <c r="G117" s="466" t="s">
        <v>1081</v>
      </c>
      <c r="H117" s="460" t="s">
        <v>1082</v>
      </c>
      <c r="I117" s="460" t="str">
        <f t="shared" si="9"/>
        <v>[fr]Umweltauswirkungen in der Zulieferkette</v>
      </c>
      <c r="J117" s="492" t="s">
        <v>1083</v>
      </c>
      <c r="K117" s="460" t="str">
        <f t="shared" si="10"/>
        <v>[gr]Umweltauswirkungen in der Zulieferkette</v>
      </c>
    </row>
    <row r="118" spans="2:12" ht="41.85" customHeight="1">
      <c r="C118" s="491" t="s">
        <v>23</v>
      </c>
      <c r="D118" s="459" t="str">
        <f t="shared" si="5"/>
        <v>Negative aspect: disproportionate environmental impact throughout the supply chain</v>
      </c>
      <c r="E118" s="491" t="s">
        <v>1084</v>
      </c>
      <c r="F118" s="460" t="s">
        <v>1085</v>
      </c>
      <c r="G118" s="466" t="s">
        <v>1086</v>
      </c>
      <c r="H118" s="460" t="s">
        <v>1087</v>
      </c>
      <c r="I118" s="460" t="str">
        <f t="shared" si="9"/>
        <v>[fr]Negativ-Aspekt:Unverhältnismäßig hohe Umweltauswirkungen in der Zulieferkette</v>
      </c>
      <c r="J118" s="492" t="s">
        <v>1088</v>
      </c>
      <c r="K118" s="460" t="str">
        <f t="shared" si="10"/>
        <v>[gr]Negativ-Aspekt:Unverhältnismäßig hohe Umweltauswirkungen in der Zulieferkette</v>
      </c>
    </row>
    <row r="119" spans="2:12" ht="41.85" customHeight="1">
      <c r="B119" s="457" t="str">
        <f>C119&amp;": "&amp;D119</f>
        <v>A4: Transparency &amp; co-determination in the supply chain</v>
      </c>
      <c r="C119" s="487" t="s">
        <v>24</v>
      </c>
      <c r="D119" s="459" t="str">
        <f t="shared" si="5"/>
        <v>Transparency &amp; co-determination in the supply chain</v>
      </c>
      <c r="E119" s="488" t="s">
        <v>1089</v>
      </c>
      <c r="F119" s="489" t="s">
        <v>1090</v>
      </c>
      <c r="G119" s="466" t="s">
        <v>1091</v>
      </c>
      <c r="H119" s="460" t="s">
        <v>1092</v>
      </c>
      <c r="I119" s="460" t="str">
        <f t="shared" si="9"/>
        <v>[fr]Transparenz und Mitentscheidung in der Zulieferkette</v>
      </c>
      <c r="J119" s="490" t="s">
        <v>1093</v>
      </c>
      <c r="K119" s="460" t="str">
        <f t="shared" si="10"/>
        <v>[gr]Transparenz und Mitentscheidung in der Zulieferkette</v>
      </c>
    </row>
    <row r="120" spans="2:12" ht="28.5" customHeight="1">
      <c r="C120" s="491" t="s">
        <v>25</v>
      </c>
      <c r="D120" s="459" t="str">
        <f t="shared" si="5"/>
        <v>Transparency towards suppliers and their right to co-determination</v>
      </c>
      <c r="E120" s="491" t="s">
        <v>1094</v>
      </c>
      <c r="F120" s="460" t="s">
        <v>1095</v>
      </c>
      <c r="G120" s="466" t="s">
        <v>1096</v>
      </c>
      <c r="H120" s="460" t="s">
        <v>1097</v>
      </c>
      <c r="I120" s="460" t="str">
        <f t="shared" si="9"/>
        <v>[fr]Transparenz und Mitentscheidungsrechte für Lieferant*innen</v>
      </c>
      <c r="J120" s="493" t="s">
        <v>1098</v>
      </c>
      <c r="K120" s="460" t="str">
        <f t="shared" si="10"/>
        <v>[gr]Transparenz und Mitentscheidungsrechte für Lieferant*innen</v>
      </c>
    </row>
    <row r="121" spans="2:12" ht="38.85" customHeight="1">
      <c r="C121" s="491" t="s">
        <v>26</v>
      </c>
      <c r="D121" s="459" t="str">
        <f t="shared" si="5"/>
        <v>Positive influence on transparency and co-determination throughout the supply chain</v>
      </c>
      <c r="E121" s="491" t="s">
        <v>1099</v>
      </c>
      <c r="F121" s="460" t="s">
        <v>1100</v>
      </c>
      <c r="G121" s="466" t="s">
        <v>1101</v>
      </c>
      <c r="H121" s="460" t="s">
        <v>1102</v>
      </c>
      <c r="I121" s="460" t="str">
        <f t="shared" si="9"/>
        <v>[fr]Positive Einflussnahme auf Transparenz und Mitentscheidung in der gesamten Zulieferkette</v>
      </c>
      <c r="J121" s="493" t="s">
        <v>1103</v>
      </c>
      <c r="K121" s="460" t="str">
        <f t="shared" si="10"/>
        <v>[gr]Positive Einflussnahme auf Transparenz und Mitentscheidung in der gesamten Zulieferkette</v>
      </c>
    </row>
    <row r="122" spans="2:12" ht="28.5" customHeight="1">
      <c r="B122" s="482" t="str">
        <f>C122&amp;": "&amp;D122</f>
        <v>B: Owners, equity- and financial service providers</v>
      </c>
      <c r="C122" s="483" t="s">
        <v>27</v>
      </c>
      <c r="D122" s="459" t="str">
        <f t="shared" si="5"/>
        <v>Owners, equity- and financial service providers</v>
      </c>
      <c r="E122" s="494" t="s">
        <v>1104</v>
      </c>
      <c r="F122" s="485" t="s">
        <v>1105</v>
      </c>
      <c r="G122" s="466" t="s">
        <v>1106</v>
      </c>
      <c r="H122" s="460" t="s">
        <v>1107</v>
      </c>
      <c r="I122" s="460" t="str">
        <f t="shared" si="9"/>
        <v>[fr]Eigentümer*innen und Finanzpartner*innen</v>
      </c>
      <c r="J122" s="486" t="s">
        <v>1108</v>
      </c>
      <c r="K122" s="460" t="str">
        <f t="shared" si="10"/>
        <v>[gr]Eigentümer*innen und Finanzpartner*innen</v>
      </c>
    </row>
    <row r="123" spans="2:12" ht="28.5" customHeight="1">
      <c r="B123" s="457" t="str">
        <f>C123&amp;": "&amp;D123</f>
        <v>B1: Ethical position in relation to financial resources</v>
      </c>
      <c r="C123" s="487" t="s">
        <v>28</v>
      </c>
      <c r="D123" s="459" t="str">
        <f t="shared" si="5"/>
        <v>Ethical position in relation to financial resources</v>
      </c>
      <c r="E123" s="488" t="s">
        <v>1109</v>
      </c>
      <c r="F123" s="489" t="s">
        <v>1110</v>
      </c>
      <c r="G123" s="466" t="s">
        <v>1111</v>
      </c>
      <c r="H123" s="460" t="s">
        <v>1112</v>
      </c>
      <c r="I123" s="460" t="str">
        <f t="shared" si="9"/>
        <v>[fr]Ethische Haltung im Umgang mit Geldmitteln</v>
      </c>
      <c r="J123" s="495" t="s">
        <v>1113</v>
      </c>
      <c r="K123" s="480"/>
      <c r="L123" s="480"/>
    </row>
    <row r="124" spans="2:12" ht="28.5" customHeight="1">
      <c r="C124" s="496" t="s">
        <v>29</v>
      </c>
      <c r="D124" s="459" t="str">
        <f t="shared" si="5"/>
        <v>Financial independence through equity financing</v>
      </c>
      <c r="E124" s="491" t="s">
        <v>1114</v>
      </c>
      <c r="F124" s="460" t="s">
        <v>1115</v>
      </c>
      <c r="G124" s="466" t="s">
        <v>1116</v>
      </c>
      <c r="H124" s="460" t="s">
        <v>1117</v>
      </c>
      <c r="I124" s="460" t="str">
        <f t="shared" si="9"/>
        <v>[fr]Finanzielle Unabhängigkeit durch Eigenfinanzierung</v>
      </c>
      <c r="J124" s="497" t="s">
        <v>1118</v>
      </c>
      <c r="K124" s="480"/>
      <c r="L124" s="480"/>
    </row>
    <row r="125" spans="2:12" ht="28.5" customHeight="1">
      <c r="C125" s="36" t="s">
        <v>30</v>
      </c>
      <c r="D125" s="459" t="str">
        <f t="shared" si="5"/>
        <v>Common Good-orientated borrowing</v>
      </c>
      <c r="E125" s="498" t="s">
        <v>1119</v>
      </c>
      <c r="F125" s="460" t="s">
        <v>1120</v>
      </c>
      <c r="G125" s="466" t="s">
        <v>1121</v>
      </c>
      <c r="H125" s="460" t="s">
        <v>1122</v>
      </c>
      <c r="I125" s="460" t="str">
        <f t="shared" si="9"/>
        <v>[fr]Gemeinwohlorientierte Fremdfinanzierung</v>
      </c>
      <c r="J125" s="497" t="s">
        <v>1123</v>
      </c>
      <c r="K125" s="480"/>
      <c r="L125" s="480"/>
    </row>
    <row r="126" spans="2:12" ht="28.5" customHeight="1">
      <c r="C126" s="36" t="s">
        <v>31</v>
      </c>
      <c r="D126" s="459" t="str">
        <f t="shared" si="5"/>
        <v>Ethical position of external financial partners</v>
      </c>
      <c r="E126" s="498" t="s">
        <v>1124</v>
      </c>
      <c r="F126" s="460" t="s">
        <v>1125</v>
      </c>
      <c r="G126" s="466" t="s">
        <v>1126</v>
      </c>
      <c r="H126" s="460" t="s">
        <v>1127</v>
      </c>
      <c r="I126" s="460" t="str">
        <f t="shared" si="9"/>
        <v>[fr]Ethische Haltung externer Finanzpartner*innen</v>
      </c>
      <c r="J126" s="497" t="s">
        <v>1128</v>
      </c>
      <c r="K126" s="480"/>
      <c r="L126" s="480"/>
    </row>
    <row r="127" spans="2:12" ht="28.5" customHeight="1">
      <c r="B127" s="457" t="str">
        <f>C127&amp;": "&amp;D127</f>
        <v>B2: Social position in relation to financial resources</v>
      </c>
      <c r="C127" s="487" t="s">
        <v>32</v>
      </c>
      <c r="D127" s="459" t="str">
        <f t="shared" si="5"/>
        <v>Social position in relation to financial resources</v>
      </c>
      <c r="E127" s="488" t="s">
        <v>1129</v>
      </c>
      <c r="F127" s="489" t="s">
        <v>1130</v>
      </c>
      <c r="G127" s="466" t="s">
        <v>1131</v>
      </c>
      <c r="H127" s="460" t="s">
        <v>1132</v>
      </c>
      <c r="I127" s="460" t="str">
        <f t="shared" si="9"/>
        <v>[fr]Soziale Haltung im Umgang mit Geldmitteln</v>
      </c>
      <c r="J127" s="495" t="s">
        <v>1133</v>
      </c>
      <c r="K127" s="480"/>
      <c r="L127" s="480"/>
    </row>
    <row r="128" spans="2:12" ht="28.5" customHeight="1">
      <c r="C128" s="496" t="s">
        <v>33</v>
      </c>
      <c r="D128" s="459" t="str">
        <f t="shared" si="5"/>
        <v>Solidarity and Common Good-orientated use of funds</v>
      </c>
      <c r="E128" s="491" t="s">
        <v>1134</v>
      </c>
      <c r="F128" s="460" t="s">
        <v>1135</v>
      </c>
      <c r="G128" s="466" t="s">
        <v>1136</v>
      </c>
      <c r="H128" s="460" t="s">
        <v>1137</v>
      </c>
      <c r="I128" s="460" t="str">
        <f t="shared" si="9"/>
        <v>[fr]Solidarische und gemeinwohlorientierte Mittelverwendung</v>
      </c>
      <c r="J128" s="497" t="s">
        <v>1138</v>
      </c>
      <c r="K128" s="480"/>
      <c r="L128" s="480"/>
    </row>
    <row r="129" spans="2:12" ht="28.5" customHeight="1">
      <c r="C129" s="36" t="s">
        <v>34</v>
      </c>
      <c r="D129" s="459" t="str">
        <f t="shared" si="5"/>
        <v>Negative aspect: unfair distribution of funds</v>
      </c>
      <c r="E129" s="498" t="s">
        <v>1139</v>
      </c>
      <c r="F129" s="460" t="s">
        <v>1140</v>
      </c>
      <c r="G129" s="466" t="s">
        <v>1141</v>
      </c>
      <c r="H129" s="460" t="s">
        <v>1142</v>
      </c>
      <c r="I129" s="460" t="str">
        <f t="shared" si="9"/>
        <v>[fr]Negativ-Aspekt: Unfaire Verteilung von Geldmittel</v>
      </c>
      <c r="J129" s="497" t="s">
        <v>1143</v>
      </c>
      <c r="K129" s="480"/>
      <c r="L129" s="480"/>
    </row>
    <row r="130" spans="2:12" ht="28.5" customHeight="1">
      <c r="B130" s="457" t="str">
        <f>C130&amp;": "&amp;D130</f>
        <v>B3: Use of funds in relation to social and environmental impacts</v>
      </c>
      <c r="C130" s="487" t="s">
        <v>35</v>
      </c>
      <c r="D130" s="459" t="str">
        <f t="shared" si="5"/>
        <v>Use of funds in relation to social and environmental impacts</v>
      </c>
      <c r="E130" s="488" t="s">
        <v>1144</v>
      </c>
      <c r="F130" s="489" t="s">
        <v>1145</v>
      </c>
      <c r="G130" s="466" t="s">
        <v>1146</v>
      </c>
      <c r="H130" s="460" t="s">
        <v>1147</v>
      </c>
      <c r="I130" s="460" t="str">
        <f t="shared" si="9"/>
        <v>[fr]Sozial-ökologische Investitionen und Mittelverwendung</v>
      </c>
      <c r="J130" s="495" t="s">
        <v>1148</v>
      </c>
      <c r="K130" s="480"/>
      <c r="L130" s="480"/>
    </row>
    <row r="131" spans="2:12" ht="15.75" customHeight="1">
      <c r="C131" s="496" t="s">
        <v>36</v>
      </c>
      <c r="D131" s="459" t="str">
        <f t="shared" si="5"/>
        <v>Environmental quality of investments</v>
      </c>
      <c r="E131" s="491" t="s">
        <v>1149</v>
      </c>
      <c r="F131" s="460" t="s">
        <v>1150</v>
      </c>
      <c r="G131" s="466" t="s">
        <v>1151</v>
      </c>
      <c r="H131" s="460" t="s">
        <v>1152</v>
      </c>
      <c r="I131" s="460" t="str">
        <f t="shared" si="9"/>
        <v>[fr]Ökologische Qualität der Investitionen</v>
      </c>
      <c r="J131" s="497" t="s">
        <v>1153</v>
      </c>
      <c r="K131" s="480"/>
      <c r="L131" s="480"/>
    </row>
    <row r="132" spans="2:12" ht="15.75" customHeight="1">
      <c r="C132" s="36" t="s">
        <v>37</v>
      </c>
      <c r="D132" s="459" t="str">
        <f t="shared" si="5"/>
        <v>Common Good-orientated investment</v>
      </c>
      <c r="E132" s="498" t="s">
        <v>1154</v>
      </c>
      <c r="F132" s="460" t="s">
        <v>1155</v>
      </c>
      <c r="G132" s="466" t="s">
        <v>1156</v>
      </c>
      <c r="H132" s="460" t="s">
        <v>1157</v>
      </c>
      <c r="I132" s="460" t="str">
        <f t="shared" si="9"/>
        <v>[fr]Gemeinwohlorientierte Veranlagung</v>
      </c>
      <c r="J132" s="497" t="s">
        <v>1158</v>
      </c>
      <c r="K132" s="480"/>
      <c r="L132" s="480"/>
    </row>
    <row r="133" spans="2:12" ht="28.5" customHeight="1">
      <c r="C133" s="36" t="s">
        <v>38</v>
      </c>
      <c r="D133" s="459" t="str">
        <f t="shared" si="5"/>
        <v>Negative aspect: reliance on environmentally unsafe resources</v>
      </c>
      <c r="E133" s="498" t="s">
        <v>1159</v>
      </c>
      <c r="F133" s="460" t="s">
        <v>1160</v>
      </c>
      <c r="G133" s="466" t="s">
        <v>1161</v>
      </c>
      <c r="H133" s="460" t="s">
        <v>1162</v>
      </c>
      <c r="I133" s="460" t="str">
        <f t="shared" si="9"/>
        <v>[fr]Negativ-Aspekt: Abhängigkeit von ökologisch bedenklichen Ressourcen</v>
      </c>
      <c r="J133" s="497" t="s">
        <v>1163</v>
      </c>
      <c r="K133" s="480"/>
      <c r="L133" s="480"/>
    </row>
    <row r="134" spans="2:12" ht="28.5" customHeight="1">
      <c r="B134" s="457" t="str">
        <f>C134&amp;": "&amp;D134</f>
        <v>B4: Ownership and co-determination</v>
      </c>
      <c r="C134" s="487" t="s">
        <v>39</v>
      </c>
      <c r="D134" s="459" t="str">
        <f t="shared" si="5"/>
        <v>Ownership and co-determination</v>
      </c>
      <c r="E134" s="488" t="s">
        <v>1164</v>
      </c>
      <c r="F134" s="489" t="s">
        <v>1165</v>
      </c>
      <c r="G134" s="466" t="s">
        <v>1166</v>
      </c>
      <c r="H134" s="460" t="s">
        <v>1167</v>
      </c>
      <c r="I134" s="460" t="str">
        <f t="shared" si="9"/>
        <v>[fr]Eigentum und Mitentscheidung</v>
      </c>
      <c r="J134" s="495" t="s">
        <v>1168</v>
      </c>
      <c r="K134" s="480"/>
      <c r="L134" s="480"/>
    </row>
    <row r="135" spans="2:12" ht="28.5" customHeight="1">
      <c r="C135" s="496" t="s">
        <v>40</v>
      </c>
      <c r="D135" s="459" t="str">
        <f t="shared" si="5"/>
        <v>Common Good-orientated ownership structure</v>
      </c>
      <c r="E135" s="491" t="s">
        <v>1169</v>
      </c>
      <c r="F135" s="460" t="s">
        <v>1170</v>
      </c>
      <c r="G135" s="466" t="s">
        <v>1171</v>
      </c>
      <c r="H135" s="460" t="s">
        <v>1172</v>
      </c>
      <c r="I135" s="460" t="str">
        <f t="shared" si="9"/>
        <v>[fr]Gemeinwohlorientierte Eigentumsstruktur</v>
      </c>
      <c r="J135" s="497" t="s">
        <v>1173</v>
      </c>
      <c r="K135" s="480"/>
      <c r="L135" s="480"/>
    </row>
    <row r="136" spans="2:12" ht="28.5" customHeight="1">
      <c r="C136" s="36" t="s">
        <v>41</v>
      </c>
      <c r="D136" s="459" t="str">
        <f t="shared" si="5"/>
        <v>Negative aspect: hostile takeover</v>
      </c>
      <c r="E136" s="498" t="s">
        <v>1174</v>
      </c>
      <c r="F136" s="460" t="s">
        <v>1175</v>
      </c>
      <c r="G136" s="466" t="s">
        <v>1176</v>
      </c>
      <c r="H136" s="460" t="s">
        <v>1177</v>
      </c>
      <c r="I136" s="460" t="str">
        <f t="shared" si="9"/>
        <v>[fr]Negativ-Aspekt: Feindliche Übernahme</v>
      </c>
      <c r="J136" s="497" t="s">
        <v>1178</v>
      </c>
      <c r="K136" s="480"/>
      <c r="L136" s="480"/>
    </row>
    <row r="137" spans="2:12" ht="15.75" customHeight="1">
      <c r="B137" s="482" t="str">
        <f>C137&amp;": "&amp;D137</f>
        <v>C: Employees</v>
      </c>
      <c r="C137" s="483" t="s">
        <v>42</v>
      </c>
      <c r="D137" s="459" t="str">
        <f t="shared" si="5"/>
        <v>Employees</v>
      </c>
      <c r="E137" s="494" t="s">
        <v>1179</v>
      </c>
      <c r="F137" s="485" t="s">
        <v>1180</v>
      </c>
      <c r="G137" s="466" t="s">
        <v>1181</v>
      </c>
      <c r="H137" s="460" t="s">
        <v>1182</v>
      </c>
      <c r="I137" s="460" t="str">
        <f t="shared" si="9"/>
        <v>[fr]Mitarbeitende</v>
      </c>
      <c r="J137" s="499" t="s">
        <v>1183</v>
      </c>
      <c r="K137" s="460" t="str">
        <f>"[gr]"&amp;E137</f>
        <v>[gr]Mitarbeitende</v>
      </c>
    </row>
    <row r="138" spans="2:12" ht="28.5" customHeight="1">
      <c r="B138" s="457" t="str">
        <f>C138&amp;": "&amp;D138</f>
        <v>C1: Human dignity in the workplace and working environment</v>
      </c>
      <c r="C138" s="487" t="s">
        <v>43</v>
      </c>
      <c r="D138" s="459" t="str">
        <f t="shared" si="5"/>
        <v>Human dignity in the workplace and working environment</v>
      </c>
      <c r="E138" s="488" t="s">
        <v>1184</v>
      </c>
      <c r="F138" s="489" t="s">
        <v>1185</v>
      </c>
      <c r="G138" s="466" t="s">
        <v>1186</v>
      </c>
      <c r="H138" s="460" t="s">
        <v>1187</v>
      </c>
      <c r="I138" s="460" t="str">
        <f t="shared" si="9"/>
        <v>[fr]Menschenwürde am Arbeitsplatz</v>
      </c>
      <c r="J138" s="495" t="s">
        <v>1188</v>
      </c>
      <c r="K138" s="480"/>
      <c r="L138" s="480"/>
    </row>
    <row r="139" spans="2:12" ht="28.5" customHeight="1">
      <c r="C139" s="491" t="s">
        <v>44</v>
      </c>
      <c r="D139" s="459" t="str">
        <f t="shared" si="5"/>
        <v>Employee-focused organisational culture</v>
      </c>
      <c r="E139" s="491" t="s">
        <v>1189</v>
      </c>
      <c r="F139" s="460" t="s">
        <v>1190</v>
      </c>
      <c r="G139" s="466" t="s">
        <v>1191</v>
      </c>
      <c r="H139" s="460" t="s">
        <v>1192</v>
      </c>
      <c r="I139" s="460" t="str">
        <f t="shared" si="9"/>
        <v>[fr]Mitarbeiterorientierte Unternehmenskultur</v>
      </c>
      <c r="J139" s="497" t="s">
        <v>1193</v>
      </c>
      <c r="K139" s="480"/>
      <c r="L139" s="480"/>
    </row>
    <row r="140" spans="2:12" ht="28.5" customHeight="1">
      <c r="C140" s="498" t="s">
        <v>45</v>
      </c>
      <c r="D140" s="459" t="str">
        <f t="shared" si="5"/>
        <v>Health promotion and occupational health and safety</v>
      </c>
      <c r="E140" s="498" t="s">
        <v>1194</v>
      </c>
      <c r="F140" s="460" t="s">
        <v>1195</v>
      </c>
      <c r="G140" s="466" t="s">
        <v>1196</v>
      </c>
      <c r="H140" s="460" t="s">
        <v>1197</v>
      </c>
      <c r="I140" s="460" t="str">
        <f t="shared" si="9"/>
        <v>[fr]Gesundheitsförderung und Arbeitsschutz</v>
      </c>
      <c r="J140" s="497" t="s">
        <v>1198</v>
      </c>
      <c r="K140" s="480"/>
      <c r="L140" s="480"/>
    </row>
    <row r="141" spans="2:12" ht="15.75" customHeight="1">
      <c r="C141" s="498" t="s">
        <v>46</v>
      </c>
      <c r="D141" s="459" t="str">
        <f t="shared" si="5"/>
        <v>Diversity and equal opportunities</v>
      </c>
      <c r="E141" s="498" t="s">
        <v>1199</v>
      </c>
      <c r="F141" s="460" t="s">
        <v>1200</v>
      </c>
      <c r="G141" s="466" t="s">
        <v>1201</v>
      </c>
      <c r="H141" s="460" t="s">
        <v>1202</v>
      </c>
      <c r="I141" s="460" t="str">
        <f t="shared" si="9"/>
        <v>[fr]Diversität und Chancengleichheit</v>
      </c>
      <c r="J141" s="497" t="s">
        <v>1203</v>
      </c>
      <c r="K141" s="480"/>
      <c r="L141" s="480"/>
    </row>
    <row r="142" spans="2:12" ht="28.5" customHeight="1">
      <c r="C142" s="500" t="s">
        <v>47</v>
      </c>
      <c r="D142" s="459" t="str">
        <f t="shared" si="5"/>
        <v>Negative aspect: unfit working conditions</v>
      </c>
      <c r="E142" s="500" t="s">
        <v>1204</v>
      </c>
      <c r="F142" s="460" t="s">
        <v>1205</v>
      </c>
      <c r="G142" s="466" t="s">
        <v>1206</v>
      </c>
      <c r="H142" s="460" t="s">
        <v>1207</v>
      </c>
      <c r="I142" s="460" t="str">
        <f t="shared" si="9"/>
        <v>[fr]Negativ-Aspekt: Menschenunwürdige Arbeitsbedingungen</v>
      </c>
      <c r="J142" s="497" t="s">
        <v>1208</v>
      </c>
      <c r="K142" s="480"/>
      <c r="L142" s="480"/>
    </row>
    <row r="143" spans="2:12" ht="28.5" customHeight="1">
      <c r="B143" s="457" t="str">
        <f>C143&amp;": "&amp;D143</f>
        <v>C2: Self-determined working arrangements</v>
      </c>
      <c r="C143" s="487" t="s">
        <v>48</v>
      </c>
      <c r="D143" s="459" t="str">
        <f t="shared" si="5"/>
        <v>Self-determined working arrangements</v>
      </c>
      <c r="E143" s="488" t="s">
        <v>1209</v>
      </c>
      <c r="F143" s="489" t="s">
        <v>3135</v>
      </c>
      <c r="G143" s="466" t="s">
        <v>1210</v>
      </c>
      <c r="H143" s="460" t="s">
        <v>1211</v>
      </c>
      <c r="I143" s="460" t="str">
        <f t="shared" si="9"/>
        <v>[fr]Ausgestaltung der Arbeitsverträge</v>
      </c>
      <c r="J143" s="495" t="s">
        <v>1212</v>
      </c>
      <c r="K143" s="480"/>
      <c r="L143" s="480"/>
    </row>
    <row r="144" spans="2:12" ht="15.75" customHeight="1">
      <c r="C144" s="496" t="s">
        <v>49</v>
      </c>
      <c r="D144" s="459" t="str">
        <f t="shared" si="5"/>
        <v>Pay structure</v>
      </c>
      <c r="E144" s="491" t="s">
        <v>1213</v>
      </c>
      <c r="F144" s="460" t="s">
        <v>1214</v>
      </c>
      <c r="G144" s="466" t="s">
        <v>1215</v>
      </c>
      <c r="H144" s="460" t="s">
        <v>1216</v>
      </c>
      <c r="I144" s="460" t="str">
        <f t="shared" si="9"/>
        <v>[fr]Ausgestaltung des Verdienstes</v>
      </c>
      <c r="J144" s="497" t="s">
        <v>1217</v>
      </c>
      <c r="K144" s="480"/>
      <c r="L144" s="480"/>
    </row>
    <row r="145" spans="2:12" ht="15.75" customHeight="1">
      <c r="C145" s="36" t="s">
        <v>50</v>
      </c>
      <c r="D145" s="459" t="str">
        <f t="shared" si="5"/>
        <v>Structuring working time</v>
      </c>
      <c r="E145" s="498" t="s">
        <v>1218</v>
      </c>
      <c r="F145" s="460" t="s">
        <v>1219</v>
      </c>
      <c r="G145" s="466" t="s">
        <v>1220</v>
      </c>
      <c r="H145" s="460" t="s">
        <v>1221</v>
      </c>
      <c r="I145" s="460" t="str">
        <f t="shared" si="9"/>
        <v>[fr]Ausgestaltung der Arbeitszeit</v>
      </c>
      <c r="J145" s="497" t="s">
        <v>1222</v>
      </c>
      <c r="K145" s="480"/>
      <c r="L145" s="480"/>
    </row>
    <row r="146" spans="2:12" ht="28.5" customHeight="1">
      <c r="C146" s="501" t="s">
        <v>51</v>
      </c>
      <c r="D146" s="459" t="str">
        <f t="shared" si="5"/>
        <v>Employment structure and work-life balance</v>
      </c>
      <c r="E146" s="500" t="s">
        <v>1223</v>
      </c>
      <c r="F146" s="460" t="s">
        <v>1224</v>
      </c>
      <c r="G146" s="466" t="s">
        <v>1225</v>
      </c>
      <c r="H146" s="460" t="s">
        <v>1226</v>
      </c>
      <c r="I146" s="460" t="str">
        <f t="shared" si="9"/>
        <v>[fr]Ausgestaltung des Arbeitsverhältnisses und Work-Life-Balance</v>
      </c>
      <c r="J146" s="497" t="s">
        <v>1227</v>
      </c>
      <c r="K146" s="480"/>
      <c r="L146" s="480"/>
    </row>
    <row r="147" spans="2:12" ht="28.5" customHeight="1">
      <c r="C147" s="501" t="s">
        <v>52</v>
      </c>
      <c r="D147" s="459" t="str">
        <f t="shared" si="5"/>
        <v>Negative aspect: unfair employment contracts</v>
      </c>
      <c r="E147" s="500" t="s">
        <v>1228</v>
      </c>
      <c r="F147" s="460" t="s">
        <v>1229</v>
      </c>
      <c r="G147" s="466" t="s">
        <v>1230</v>
      </c>
      <c r="H147" s="460" t="s">
        <v>1231</v>
      </c>
      <c r="I147" s="460" t="str">
        <f t="shared" si="9"/>
        <v>[fr]Negativ-Aspekt: Ungerechte Ausgestaltung der Arbeitsverträge</v>
      </c>
      <c r="J147" s="497" t="s">
        <v>1232</v>
      </c>
      <c r="K147" s="480"/>
      <c r="L147" s="480"/>
    </row>
    <row r="148" spans="2:12" ht="41.85" customHeight="1">
      <c r="B148" s="457" t="str">
        <f>C148&amp;": "&amp;D148</f>
        <v>C3: Environmentally-friendly behaviour of staff</v>
      </c>
      <c r="C148" s="487" t="s">
        <v>53</v>
      </c>
      <c r="D148" s="459" t="str">
        <f t="shared" si="5"/>
        <v>Environmentally-friendly behaviour of staff</v>
      </c>
      <c r="E148" s="488" t="s">
        <v>1233</v>
      </c>
      <c r="F148" s="489" t="s">
        <v>1234</v>
      </c>
      <c r="G148" s="466" t="s">
        <v>1235</v>
      </c>
      <c r="H148" s="460" t="s">
        <v>1236</v>
      </c>
      <c r="I148" s="460" t="str">
        <f t="shared" si="9"/>
        <v>[fr]Förderung des ökologischen Verhaltens der Mitarbeitenden</v>
      </c>
      <c r="J148" s="495" t="s">
        <v>1237</v>
      </c>
      <c r="K148" s="480"/>
      <c r="L148" s="480"/>
    </row>
    <row r="149" spans="2:12" ht="15.75" customHeight="1">
      <c r="C149" s="496" t="s">
        <v>54</v>
      </c>
      <c r="D149" s="459" t="str">
        <f t="shared" si="5"/>
        <v>Food during working hours</v>
      </c>
      <c r="E149" s="491" t="s">
        <v>1238</v>
      </c>
      <c r="F149" s="460" t="s">
        <v>1239</v>
      </c>
      <c r="G149" s="466" t="s">
        <v>1240</v>
      </c>
      <c r="H149" s="460" t="s">
        <v>1241</v>
      </c>
      <c r="I149" s="460" t="str">
        <f t="shared" si="9"/>
        <v>[fr]Ernährung während der Arbeitszeit</v>
      </c>
      <c r="J149" s="497" t="s">
        <v>1242</v>
      </c>
      <c r="K149" s="480"/>
      <c r="L149" s="480"/>
    </row>
    <row r="150" spans="2:12" ht="15.75" customHeight="1">
      <c r="C150" s="36" t="s">
        <v>55</v>
      </c>
      <c r="D150" s="459" t="str">
        <f t="shared" si="5"/>
        <v>Travel to work</v>
      </c>
      <c r="E150" s="498" t="s">
        <v>1243</v>
      </c>
      <c r="F150" s="460" t="s">
        <v>1244</v>
      </c>
      <c r="G150" s="466" t="s">
        <v>1245</v>
      </c>
      <c r="H150" s="460" t="s">
        <v>1246</v>
      </c>
      <c r="I150" s="460" t="str">
        <f t="shared" si="9"/>
        <v>[fr]Mobilität zum Arbeitsplatz</v>
      </c>
      <c r="J150" s="497" t="s">
        <v>1247</v>
      </c>
      <c r="K150" s="480"/>
      <c r="L150" s="480"/>
    </row>
    <row r="151" spans="2:12" ht="28.5" customHeight="1">
      <c r="C151" s="501" t="s">
        <v>56</v>
      </c>
      <c r="D151" s="459" t="str">
        <f t="shared" si="5"/>
        <v>Organisational culture, cultivating awareness for an environmentally-friendly approach</v>
      </c>
      <c r="E151" s="500" t="s">
        <v>1248</v>
      </c>
      <c r="F151" s="460" t="s">
        <v>1249</v>
      </c>
      <c r="G151" s="466" t="s">
        <v>1250</v>
      </c>
      <c r="H151" s="460" t="s">
        <v>1251</v>
      </c>
      <c r="I151" s="460" t="str">
        <f t="shared" si="9"/>
        <v>[fr]Organisationskultur, Sensibilisierung und unternehmensinterne Prozesse</v>
      </c>
      <c r="J151" s="497" t="s">
        <v>1252</v>
      </c>
      <c r="K151" s="480"/>
      <c r="L151" s="480"/>
    </row>
    <row r="152" spans="2:12" ht="41.85" customHeight="1">
      <c r="C152" s="501" t="s">
        <v>57</v>
      </c>
      <c r="D152" s="459" t="str">
        <f t="shared" si="5"/>
        <v>Negative aspect: guidance on waste/ environmentally damaging practices</v>
      </c>
      <c r="E152" s="500" t="s">
        <v>1253</v>
      </c>
      <c r="F152" s="460" t="s">
        <v>1254</v>
      </c>
      <c r="G152" s="466" t="s">
        <v>1255</v>
      </c>
      <c r="H152" s="460" t="s">
        <v>1256</v>
      </c>
      <c r="I152" s="460" t="str">
        <f t="shared" si="9"/>
        <v>[fr]Negativ-Aspekt: Anleitung zur Verschwendung / Duldung unökologischen Verhaltens</v>
      </c>
      <c r="J152" s="497" t="s">
        <v>1257</v>
      </c>
      <c r="K152" s="480"/>
      <c r="L152" s="480"/>
    </row>
    <row r="153" spans="2:12" ht="41.85" customHeight="1">
      <c r="B153" s="457" t="str">
        <f>C153&amp;": "&amp;D153</f>
        <v>C4: Co-determination and transparency within the organisation</v>
      </c>
      <c r="C153" s="487" t="s">
        <v>58</v>
      </c>
      <c r="D153" s="459" t="str">
        <f t="shared" si="5"/>
        <v>Co-determination and transparency within the organisation</v>
      </c>
      <c r="E153" s="488" t="str">
        <f>"Innerbetriebliche Mitentscheidung und Transparenz"</f>
        <v>Innerbetriebliche Mitentscheidung und Transparenz</v>
      </c>
      <c r="F153" s="489" t="s">
        <v>1258</v>
      </c>
      <c r="G153" s="466" t="s">
        <v>1259</v>
      </c>
      <c r="H153" s="460" t="s">
        <v>1260</v>
      </c>
      <c r="I153" s="460" t="str">
        <f t="shared" si="9"/>
        <v>[fr]Innerbetriebliche Mitentscheidung und Transparenz</v>
      </c>
      <c r="J153" s="495" t="s">
        <v>1261</v>
      </c>
      <c r="K153" s="480"/>
      <c r="L153" s="480"/>
    </row>
    <row r="154" spans="2:12" ht="15.75" customHeight="1">
      <c r="C154" s="496" t="s">
        <v>59</v>
      </c>
      <c r="D154" s="459" t="str">
        <f t="shared" si="5"/>
        <v>Transparency within the organisation</v>
      </c>
      <c r="E154" s="491" t="s">
        <v>1262</v>
      </c>
      <c r="F154" s="460" t="s">
        <v>1263</v>
      </c>
      <c r="G154" s="466" t="s">
        <v>1264</v>
      </c>
      <c r="H154" s="460" t="s">
        <v>1265</v>
      </c>
      <c r="I154" s="460" t="str">
        <f t="shared" si="9"/>
        <v>[fr]Innerbetriebliche Transparenz</v>
      </c>
      <c r="J154" s="497" t="s">
        <v>1266</v>
      </c>
      <c r="K154" s="480"/>
      <c r="L154" s="480"/>
    </row>
    <row r="155" spans="2:12" ht="15.75" customHeight="1">
      <c r="C155" s="36" t="s">
        <v>60</v>
      </c>
      <c r="D155" s="459" t="str">
        <f t="shared" si="5"/>
        <v>Legitimation of the management</v>
      </c>
      <c r="E155" s="498" t="s">
        <v>1267</v>
      </c>
      <c r="F155" s="460" t="s">
        <v>1268</v>
      </c>
      <c r="G155" s="466" t="s">
        <v>1269</v>
      </c>
      <c r="H155" s="460" t="s">
        <v>1270</v>
      </c>
      <c r="I155" s="460" t="str">
        <f t="shared" si="9"/>
        <v>[fr]Legitimierung der Führungskräfte</v>
      </c>
      <c r="J155" s="497" t="s">
        <v>1271</v>
      </c>
      <c r="K155" s="480"/>
      <c r="L155" s="480"/>
    </row>
    <row r="156" spans="2:12" ht="28.5" customHeight="1">
      <c r="C156" s="36" t="s">
        <v>61</v>
      </c>
      <c r="D156" s="459" t="str">
        <f t="shared" si="5"/>
        <v>Employee co-determination</v>
      </c>
      <c r="E156" s="498" t="s">
        <v>1272</v>
      </c>
      <c r="F156" s="460" t="s">
        <v>1273</v>
      </c>
      <c r="G156" s="466" t="s">
        <v>1274</v>
      </c>
      <c r="H156" s="460" t="s">
        <v>1275</v>
      </c>
      <c r="I156" s="460" t="str">
        <f t="shared" si="9"/>
        <v>[fr]Mitentscheidung der Mitarbeitenden</v>
      </c>
      <c r="J156" s="497" t="s">
        <v>1276</v>
      </c>
      <c r="K156" s="480"/>
      <c r="L156" s="480"/>
    </row>
    <row r="157" spans="2:12" ht="28.5" customHeight="1">
      <c r="C157" s="48" t="s">
        <v>62</v>
      </c>
      <c r="D157" s="459" t="str">
        <f t="shared" si="5"/>
        <v>Negative aspect: obstruction of works councils</v>
      </c>
      <c r="E157" s="502" t="s">
        <v>1277</v>
      </c>
      <c r="F157" s="460" t="s">
        <v>1278</v>
      </c>
      <c r="G157" s="466" t="s">
        <v>1279</v>
      </c>
      <c r="H157" s="460" t="s">
        <v>1280</v>
      </c>
      <c r="I157" s="460" t="str">
        <f t="shared" si="9"/>
        <v>[fr]Negativ-Aspekt C4.4: Verhinderung des Betriebsrates</v>
      </c>
      <c r="J157" s="497" t="s">
        <v>1281</v>
      </c>
      <c r="K157" s="480"/>
      <c r="L157" s="480"/>
    </row>
    <row r="158" spans="2:12" ht="15.75" customHeight="1">
      <c r="B158" s="482" t="str">
        <f>C158&amp;": "&amp;D158</f>
        <v>D: Customers and other companies</v>
      </c>
      <c r="C158" s="483" t="s">
        <v>63</v>
      </c>
      <c r="D158" s="459" t="str">
        <f t="shared" si="5"/>
        <v>Customers and other companies</v>
      </c>
      <c r="E158" s="494" t="s">
        <v>1282</v>
      </c>
      <c r="F158" s="485" t="s">
        <v>1283</v>
      </c>
      <c r="G158" s="466" t="s">
        <v>1284</v>
      </c>
      <c r="H158" s="460" t="s">
        <v>1285</v>
      </c>
      <c r="I158" s="460" t="str">
        <f t="shared" si="9"/>
        <v>[fr]Kund*nnen und Mitunternehmen</v>
      </c>
      <c r="J158" s="499" t="s">
        <v>1286</v>
      </c>
      <c r="K158" s="460" t="str">
        <f>"[gr]"&amp;E158</f>
        <v>[gr]Kund*nnen und Mitunternehmen</v>
      </c>
    </row>
    <row r="159" spans="2:12" ht="28.5" customHeight="1">
      <c r="B159" s="457" t="str">
        <f>C159&amp;": "&amp;D159</f>
        <v>D1: Ethical customer relations</v>
      </c>
      <c r="C159" s="487" t="s">
        <v>64</v>
      </c>
      <c r="D159" s="459" t="str">
        <f t="shared" si="5"/>
        <v>Ethical customer relations</v>
      </c>
      <c r="E159" s="488" t="s">
        <v>1287</v>
      </c>
      <c r="F159" s="489" t="s">
        <v>1288</v>
      </c>
      <c r="G159" s="466" t="s">
        <v>1289</v>
      </c>
      <c r="H159" s="460" t="s">
        <v>1290</v>
      </c>
      <c r="I159" s="460" t="s">
        <v>1291</v>
      </c>
      <c r="J159" s="495" t="s">
        <v>1292</v>
      </c>
      <c r="K159" s="480"/>
      <c r="L159" s="480"/>
    </row>
    <row r="160" spans="2:12" ht="28.5" customHeight="1">
      <c r="C160" s="491" t="s">
        <v>65</v>
      </c>
      <c r="D160" s="459" t="str">
        <f t="shared" si="5"/>
        <v>Respect for human dignity in communication with customers</v>
      </c>
      <c r="E160" s="491" t="s">
        <v>1293</v>
      </c>
      <c r="F160" s="460" t="s">
        <v>1294</v>
      </c>
      <c r="G160" s="466" t="s">
        <v>1295</v>
      </c>
      <c r="H160" s="460" t="s">
        <v>1296</v>
      </c>
      <c r="I160" s="460" t="str">
        <f t="shared" ref="I160:I192" si="11">"[fr]"&amp;E160</f>
        <v>[fr]Menschenwürdige Kommunikation mit Kund*innen</v>
      </c>
      <c r="J160" s="497" t="s">
        <v>1297</v>
      </c>
      <c r="K160" s="480"/>
      <c r="L160" s="480"/>
    </row>
    <row r="161" spans="2:12" ht="15.75" customHeight="1">
      <c r="C161" s="36" t="s">
        <v>66</v>
      </c>
      <c r="D161" s="459" t="str">
        <f t="shared" si="5"/>
        <v>Barrier-free access</v>
      </c>
      <c r="E161" s="491" t="s">
        <v>1298</v>
      </c>
      <c r="F161" s="460" t="s">
        <v>1299</v>
      </c>
      <c r="G161" s="466" t="s">
        <v>1300</v>
      </c>
      <c r="H161" s="460" t="s">
        <v>1301</v>
      </c>
      <c r="I161" s="460" t="str">
        <f t="shared" si="11"/>
        <v>[fr]Barrierefreiheit</v>
      </c>
      <c r="J161" s="497" t="s">
        <v>1302</v>
      </c>
      <c r="K161" s="480"/>
      <c r="L161" s="480"/>
    </row>
    <row r="162" spans="2:12" ht="28.5" customHeight="1">
      <c r="C162" s="498" t="s">
        <v>67</v>
      </c>
      <c r="D162" s="459" t="str">
        <f t="shared" si="5"/>
        <v>Negative aspect: unethical advertising</v>
      </c>
      <c r="E162" s="491" t="s">
        <v>1303</v>
      </c>
      <c r="F162" s="460" t="s">
        <v>1304</v>
      </c>
      <c r="G162" s="466" t="s">
        <v>1305</v>
      </c>
      <c r="H162" s="460" t="s">
        <v>1306</v>
      </c>
      <c r="I162" s="460" t="str">
        <f t="shared" si="11"/>
        <v>[fr]Negativ-Aspekt: Unethische Werbemaßnahmen</v>
      </c>
      <c r="J162" s="497" t="s">
        <v>1307</v>
      </c>
      <c r="K162" s="480"/>
      <c r="L162" s="480"/>
    </row>
    <row r="163" spans="2:12" ht="28.5" customHeight="1">
      <c r="B163" s="457" t="str">
        <f>C163&amp;": "&amp;D163</f>
        <v>D2: Cooperation and solidarity with other companies</v>
      </c>
      <c r="C163" s="487" t="s">
        <v>68</v>
      </c>
      <c r="D163" s="459" t="str">
        <f t="shared" si="5"/>
        <v>Cooperation and solidarity with other companies</v>
      </c>
      <c r="E163" s="488" t="s">
        <v>1308</v>
      </c>
      <c r="F163" s="489" t="s">
        <v>1309</v>
      </c>
      <c r="G163" s="466" t="s">
        <v>1310</v>
      </c>
      <c r="H163" s="460" t="s">
        <v>1311</v>
      </c>
      <c r="I163" s="460" t="str">
        <f t="shared" si="11"/>
        <v>[fr]Kooperation und Solidarität mit Mitunternehmen</v>
      </c>
      <c r="J163" s="495" t="s">
        <v>1312</v>
      </c>
      <c r="K163" s="480"/>
      <c r="L163" s="480"/>
    </row>
    <row r="164" spans="2:12" ht="15.75" customHeight="1">
      <c r="C164" s="491" t="s">
        <v>69</v>
      </c>
      <c r="D164" s="459" t="str">
        <f t="shared" si="5"/>
        <v>Cooperation with other companies</v>
      </c>
      <c r="E164" s="491" t="s">
        <v>1313</v>
      </c>
      <c r="F164" s="460" t="s">
        <v>1314</v>
      </c>
      <c r="G164" s="466" t="s">
        <v>1315</v>
      </c>
      <c r="H164" s="460" t="s">
        <v>1316</v>
      </c>
      <c r="I164" s="460" t="str">
        <f t="shared" si="11"/>
        <v>[fr]Kooperation mit Mitunternehmen</v>
      </c>
      <c r="J164" s="497" t="s">
        <v>1317</v>
      </c>
      <c r="K164" s="480"/>
      <c r="L164" s="480"/>
    </row>
    <row r="165" spans="2:12" ht="15.75" customHeight="1">
      <c r="C165" s="498" t="s">
        <v>70</v>
      </c>
      <c r="D165" s="459" t="str">
        <f t="shared" si="5"/>
        <v>Solidarity with other companies</v>
      </c>
      <c r="E165" s="491" t="s">
        <v>1318</v>
      </c>
      <c r="F165" s="460" t="s">
        <v>1319</v>
      </c>
      <c r="G165" s="466" t="s">
        <v>1320</v>
      </c>
      <c r="H165" s="460" t="s">
        <v>1321</v>
      </c>
      <c r="I165" s="460" t="str">
        <f t="shared" si="11"/>
        <v>[fr]Solidarität mit Mitunternehmen</v>
      </c>
      <c r="J165" s="497" t="s">
        <v>1322</v>
      </c>
      <c r="K165" s="480"/>
      <c r="L165" s="480"/>
    </row>
    <row r="166" spans="2:12" ht="28.5" customHeight="1">
      <c r="C166" s="500" t="s">
        <v>71</v>
      </c>
      <c r="D166" s="459" t="str">
        <f t="shared" si="5"/>
        <v>Negative aspect: abuse of market power to the detriment of other companies</v>
      </c>
      <c r="E166" s="503" t="s">
        <v>1323</v>
      </c>
      <c r="F166" s="460" t="s">
        <v>1324</v>
      </c>
      <c r="G166" s="466" t="s">
        <v>1325</v>
      </c>
      <c r="H166" s="460" t="s">
        <v>1326</v>
      </c>
      <c r="I166" s="460" t="str">
        <f t="shared" si="11"/>
        <v>[fr]Negativ-Aspekt D2.3: Missbrauch der Marktmacht gegenüber Mitunternehmen</v>
      </c>
      <c r="J166" s="497" t="s">
        <v>1327</v>
      </c>
      <c r="K166" s="480"/>
      <c r="L166" s="480"/>
    </row>
    <row r="167" spans="2:12" ht="41.85" customHeight="1">
      <c r="B167" s="457" t="str">
        <f>C167&amp;": "&amp;D167</f>
        <v>D3: Impact on the environment of the use and disposal of products and services</v>
      </c>
      <c r="C167" s="487" t="s">
        <v>72</v>
      </c>
      <c r="D167" s="459" t="str">
        <f t="shared" si="5"/>
        <v>Impact on the environment of the use and disposal of products and services</v>
      </c>
      <c r="E167" s="488" t="s">
        <v>1328</v>
      </c>
      <c r="F167" s="489" t="s">
        <v>1329</v>
      </c>
      <c r="G167" s="466" t="s">
        <v>1330</v>
      </c>
      <c r="H167" s="460" t="s">
        <v>1331</v>
      </c>
      <c r="I167" s="460" t="str">
        <f t="shared" si="11"/>
        <v>[fr]Ökologische Auswirkung durch Nutzung und Entsorgung von Produkten und Dienstleistungen</v>
      </c>
      <c r="J167" s="495" t="s">
        <v>1332</v>
      </c>
      <c r="K167" s="480"/>
      <c r="L167" s="480"/>
    </row>
    <row r="168" spans="2:12" ht="41.85" customHeight="1">
      <c r="C168" s="491" t="s">
        <v>73</v>
      </c>
      <c r="D168" s="459" t="str">
        <f t="shared" si="5"/>
        <v xml:space="preserve">Environmental cost-benefit ration of products and services (efficiency and consistency) </v>
      </c>
      <c r="E168" s="491" t="s">
        <v>1333</v>
      </c>
      <c r="F168" s="460" t="s">
        <v>1334</v>
      </c>
      <c r="G168" s="466" t="s">
        <v>1335</v>
      </c>
      <c r="H168" s="460" t="s">
        <v>1336</v>
      </c>
      <c r="I168" s="460" t="str">
        <f t="shared" si="11"/>
        <v>[fr]Ökologisches Kosten-Nutzen-Verhältnis von Produkten und Dienstleistungen (Effizienz und Konsistenz)</v>
      </c>
      <c r="J168" s="497" t="s">
        <v>1337</v>
      </c>
      <c r="K168" s="480"/>
      <c r="L168" s="480"/>
    </row>
    <row r="169" spans="2:12" ht="28.5" customHeight="1">
      <c r="C169" s="498" t="s">
        <v>74</v>
      </c>
      <c r="D169" s="459" t="str">
        <f t="shared" si="5"/>
        <v>Moderate use of products and services (sufficiency)</v>
      </c>
      <c r="E169" s="491" t="s">
        <v>1338</v>
      </c>
      <c r="F169" s="460" t="s">
        <v>1339</v>
      </c>
      <c r="G169" s="466" t="s">
        <v>1340</v>
      </c>
      <c r="H169" s="460" t="s">
        <v>1341</v>
      </c>
      <c r="I169" s="460" t="str">
        <f t="shared" si="11"/>
        <v>[fr]Maßvolle Nutzung von Produkten und Dienstleistungen (Suffizienz)</v>
      </c>
      <c r="J169" s="497" t="s">
        <v>1342</v>
      </c>
      <c r="K169" s="480"/>
      <c r="L169" s="480"/>
    </row>
    <row r="170" spans="2:12" ht="38.85" customHeight="1">
      <c r="C170" s="500" t="s">
        <v>75</v>
      </c>
      <c r="D170" s="459" t="str">
        <f t="shared" si="5"/>
        <v>Negative aspect: wilful disregard of disproportionate environmental impacts</v>
      </c>
      <c r="E170" s="503" t="s">
        <v>1343</v>
      </c>
      <c r="F170" s="460" t="s">
        <v>1344</v>
      </c>
      <c r="G170" s="466" t="s">
        <v>1345</v>
      </c>
      <c r="H170" s="460" t="s">
        <v>1346</v>
      </c>
      <c r="I170" s="460" t="str">
        <f t="shared" si="11"/>
        <v>[fr]Negativ-Aspekt: Bewusste Inkaufnahme unverhältnismäßiger, ökologischer Auswirkungen</v>
      </c>
      <c r="J170" s="497" t="s">
        <v>1347</v>
      </c>
      <c r="K170" s="480"/>
      <c r="L170" s="480"/>
    </row>
    <row r="171" spans="2:12" ht="28.5" customHeight="1">
      <c r="B171" s="457" t="str">
        <f>C171&amp;": "&amp;D171</f>
        <v>D4: Customer participation and product transparency</v>
      </c>
      <c r="C171" s="487" t="s">
        <v>76</v>
      </c>
      <c r="D171" s="459" t="str">
        <f t="shared" si="5"/>
        <v>Customer participation and product transparency</v>
      </c>
      <c r="E171" s="488" t="s">
        <v>1348</v>
      </c>
      <c r="F171" s="489" t="s">
        <v>1349</v>
      </c>
      <c r="G171" s="466" t="s">
        <v>1350</v>
      </c>
      <c r="H171" s="460" t="s">
        <v>1351</v>
      </c>
      <c r="I171" s="460" t="str">
        <f t="shared" si="11"/>
        <v>[fr]Kund*innen-Mitwirkung und Produkttransparenz</v>
      </c>
      <c r="J171" s="495" t="s">
        <v>1352</v>
      </c>
      <c r="K171" s="480"/>
      <c r="L171" s="480"/>
    </row>
    <row r="172" spans="2:12" ht="28.5" customHeight="1">
      <c r="C172" s="491" t="s">
        <v>77</v>
      </c>
      <c r="D172" s="459" t="str">
        <f t="shared" si="5"/>
        <v>Customer participation, joint product development and market research</v>
      </c>
      <c r="E172" s="491" t="s">
        <v>1353</v>
      </c>
      <c r="F172" s="460" t="s">
        <v>1354</v>
      </c>
      <c r="G172" s="466" t="s">
        <v>1355</v>
      </c>
      <c r="H172" s="460" t="s">
        <v>1356</v>
      </c>
      <c r="I172" s="460" t="str">
        <f t="shared" si="11"/>
        <v>[fr]Kund*innen-Mitwirkung, gemeinsame Produktentwicklung und Marktforschung</v>
      </c>
      <c r="J172" s="497" t="s">
        <v>1357</v>
      </c>
      <c r="K172" s="480"/>
      <c r="L172" s="480"/>
    </row>
    <row r="173" spans="2:12" ht="15.75" customHeight="1">
      <c r="C173" s="500" t="s">
        <v>78</v>
      </c>
      <c r="D173" s="459" t="str">
        <f t="shared" si="5"/>
        <v>Product transparency</v>
      </c>
      <c r="E173" s="503" t="s">
        <v>1358</v>
      </c>
      <c r="F173" s="460" t="s">
        <v>1359</v>
      </c>
      <c r="G173" s="466" t="s">
        <v>1360</v>
      </c>
      <c r="H173" s="460" t="s">
        <v>1361</v>
      </c>
      <c r="I173" s="460" t="str">
        <f t="shared" si="11"/>
        <v>[fr]Produkttransparenz</v>
      </c>
      <c r="J173" s="497" t="s">
        <v>1362</v>
      </c>
      <c r="K173" s="480"/>
      <c r="L173" s="480"/>
    </row>
    <row r="174" spans="2:12" ht="28.5" customHeight="1">
      <c r="C174" s="500" t="s">
        <v>78</v>
      </c>
      <c r="D174" s="459" t="str">
        <f t="shared" si="5"/>
        <v>Negative aspect: non-disclosure of hazardous substances</v>
      </c>
      <c r="E174" s="500" t="s">
        <v>1363</v>
      </c>
      <c r="F174" s="460" t="s">
        <v>1364</v>
      </c>
      <c r="G174" s="466" t="s">
        <v>1365</v>
      </c>
      <c r="H174" s="460" t="s">
        <v>1366</v>
      </c>
      <c r="I174" s="460" t="str">
        <f t="shared" si="11"/>
        <v>[fr]Negativ-Aspekt: Kein Ausweis von Gefahrenstoffen</v>
      </c>
      <c r="J174" s="497" t="s">
        <v>1367</v>
      </c>
      <c r="K174" s="480"/>
      <c r="L174" s="480"/>
    </row>
    <row r="175" spans="2:12" ht="15.75" customHeight="1">
      <c r="B175" s="482" t="str">
        <f>C175&amp;": "&amp;D175</f>
        <v>E: Social environment</v>
      </c>
      <c r="C175" s="483" t="s">
        <v>79</v>
      </c>
      <c r="D175" s="459" t="str">
        <f t="shared" si="5"/>
        <v>Social environment</v>
      </c>
      <c r="E175" s="494" t="s">
        <v>1368</v>
      </c>
      <c r="F175" s="485" t="s">
        <v>1369</v>
      </c>
      <c r="G175" s="466" t="s">
        <v>1370</v>
      </c>
      <c r="H175" s="460" t="s">
        <v>1371</v>
      </c>
      <c r="I175" s="460" t="str">
        <f t="shared" si="11"/>
        <v>[fr]Gesellschaftliches Umfeld</v>
      </c>
      <c r="J175" s="499" t="s">
        <v>1372</v>
      </c>
      <c r="K175" s="460" t="str">
        <f>"[gr]"&amp;E175</f>
        <v>[gr]Gesellschaftliches Umfeld</v>
      </c>
    </row>
    <row r="176" spans="2:12" ht="28.5" customHeight="1">
      <c r="B176" s="457" t="str">
        <f>C176&amp;": "&amp;D176</f>
        <v>E1: Purpose of products and services and their effects on society</v>
      </c>
      <c r="C176" s="487" t="s">
        <v>80</v>
      </c>
      <c r="D176" s="459" t="str">
        <f t="shared" si="5"/>
        <v>Purpose of products and services and their effects on society</v>
      </c>
      <c r="E176" s="488" t="s">
        <v>1373</v>
      </c>
      <c r="F176" s="489" t="s">
        <v>1374</v>
      </c>
      <c r="G176" s="466" t="s">
        <v>1375</v>
      </c>
      <c r="H176" s="460" t="s">
        <v>1376</v>
      </c>
      <c r="I176" s="460" t="str">
        <f t="shared" si="11"/>
        <v>[fr]Sinn und gesellschaftliche Wirkung der Produkte und Dienstleistungen</v>
      </c>
      <c r="J176" s="495" t="s">
        <v>1377</v>
      </c>
      <c r="K176" s="504"/>
    </row>
    <row r="177" spans="2:11" ht="28.5" customHeight="1">
      <c r="C177" s="491" t="s">
        <v>81</v>
      </c>
      <c r="D177" s="459" t="str">
        <f t="shared" si="5"/>
        <v>Products and services should cover basic needs and contribute to a good life</v>
      </c>
      <c r="E177" s="491" t="s">
        <v>1378</v>
      </c>
      <c r="F177" s="460" t="s">
        <v>1379</v>
      </c>
      <c r="G177" s="466" t="s">
        <v>1380</v>
      </c>
      <c r="H177" s="460" t="s">
        <v>1381</v>
      </c>
      <c r="I177" s="460" t="str">
        <f t="shared" si="11"/>
        <v>[fr]Produkte und Dienstleistungen decken den Grundbedarf und dienen dem guten Leben</v>
      </c>
      <c r="J177" s="497" t="s">
        <v>1382</v>
      </c>
      <c r="K177" s="480"/>
    </row>
    <row r="178" spans="2:11" ht="28.5" customHeight="1">
      <c r="C178" s="500" t="s">
        <v>82</v>
      </c>
      <c r="D178" s="459" t="str">
        <f t="shared" si="5"/>
        <v>Social impact of products and services</v>
      </c>
      <c r="E178" s="500" t="s">
        <v>1383</v>
      </c>
      <c r="F178" s="460" t="s">
        <v>1384</v>
      </c>
      <c r="G178" s="466" t="s">
        <v>1385</v>
      </c>
      <c r="H178" s="460" t="s">
        <v>1386</v>
      </c>
      <c r="I178" s="460" t="str">
        <f t="shared" si="11"/>
        <v>[fr]Gesellschaftliche Wirkung der Produkte und Dienstleistungen</v>
      </c>
      <c r="J178" s="497" t="s">
        <v>1387</v>
      </c>
      <c r="K178" s="480"/>
    </row>
    <row r="179" spans="2:11" ht="28.5" customHeight="1">
      <c r="C179" s="500" t="s">
        <v>83</v>
      </c>
      <c r="D179" s="459" t="str">
        <f t="shared" si="5"/>
        <v>Negative aspect: unethical and unfit products and services</v>
      </c>
      <c r="E179" s="500" t="s">
        <v>1388</v>
      </c>
      <c r="F179" s="460" t="s">
        <v>1389</v>
      </c>
      <c r="G179" s="466" t="s">
        <v>1390</v>
      </c>
      <c r="H179" s="460" t="s">
        <v>1391</v>
      </c>
      <c r="I179" s="460" t="str">
        <f t="shared" si="11"/>
        <v>[fr]Negativ-Aspekt: Menschenunwürdige Produkte und Dienstleistungen</v>
      </c>
      <c r="J179" s="505" t="s">
        <v>1392</v>
      </c>
      <c r="K179" s="480"/>
    </row>
    <row r="180" spans="2:11" ht="28.5" customHeight="1">
      <c r="B180" s="457" t="str">
        <f>C180&amp;": "&amp;D180</f>
        <v>E2: Contribution to the community</v>
      </c>
      <c r="C180" s="487" t="s">
        <v>84</v>
      </c>
      <c r="D180" s="459" t="str">
        <f t="shared" si="5"/>
        <v>Contribution to the community</v>
      </c>
      <c r="E180" s="488" t="s">
        <v>1393</v>
      </c>
      <c r="F180" s="489" t="s">
        <v>1394</v>
      </c>
      <c r="G180" s="466" t="s">
        <v>1395</v>
      </c>
      <c r="H180" s="460" t="s">
        <v>1396</v>
      </c>
      <c r="I180" s="460" t="str">
        <f t="shared" si="11"/>
        <v>[fr]Beitrag zum Gemeinwesen</v>
      </c>
      <c r="J180" s="495" t="s">
        <v>1397</v>
      </c>
      <c r="K180" s="480"/>
    </row>
    <row r="181" spans="2:11" ht="15.75" customHeight="1">
      <c r="C181" s="496" t="s">
        <v>85</v>
      </c>
      <c r="D181" s="459" t="str">
        <f t="shared" si="5"/>
        <v>Taxes and social security contributions</v>
      </c>
      <c r="E181" s="491" t="s">
        <v>1398</v>
      </c>
      <c r="F181" s="460" t="s">
        <v>1399</v>
      </c>
      <c r="G181" s="466" t="s">
        <v>1400</v>
      </c>
      <c r="H181" s="460" t="s">
        <v>1401</v>
      </c>
      <c r="I181" s="460" t="str">
        <f t="shared" si="11"/>
        <v>[fr]Steuern und Sozialabgaben</v>
      </c>
      <c r="J181" s="497" t="s">
        <v>1402</v>
      </c>
      <c r="K181" s="480"/>
    </row>
    <row r="182" spans="2:11" ht="28.5" customHeight="1">
      <c r="C182" s="36" t="s">
        <v>86</v>
      </c>
      <c r="D182" s="459" t="str">
        <f t="shared" si="5"/>
        <v>Voluntary contributions that strengthen society</v>
      </c>
      <c r="E182" s="498" t="s">
        <v>1403</v>
      </c>
      <c r="F182" s="460" t="s">
        <v>1404</v>
      </c>
      <c r="G182" s="466" t="s">
        <v>1405</v>
      </c>
      <c r="H182" s="460" t="s">
        <v>1406</v>
      </c>
      <c r="I182" s="460" t="str">
        <f t="shared" si="11"/>
        <v>[fr]Freiwillige Beiträge zur Stärkung des Gemeinwesens</v>
      </c>
      <c r="J182" s="497" t="s">
        <v>1407</v>
      </c>
      <c r="K182" s="480"/>
    </row>
    <row r="183" spans="2:11" ht="15.75" customHeight="1">
      <c r="C183" s="501" t="s">
        <v>87</v>
      </c>
      <c r="D183" s="506" t="str">
        <f t="shared" si="5"/>
        <v>Negative aspect: inappropriate non-payment of tax</v>
      </c>
      <c r="E183" s="500" t="s">
        <v>1408</v>
      </c>
      <c r="F183" s="460" t="s">
        <v>1409</v>
      </c>
      <c r="G183" s="466" t="s">
        <v>1410</v>
      </c>
      <c r="H183" s="460" t="s">
        <v>1411</v>
      </c>
      <c r="I183" s="460" t="str">
        <f t="shared" si="11"/>
        <v>[fr]Negativ-Aspekt: Illegitime Steuervermeidung</v>
      </c>
      <c r="J183" s="497" t="s">
        <v>1412</v>
      </c>
      <c r="K183" s="480"/>
    </row>
    <row r="184" spans="2:11" ht="28.5" customHeight="1">
      <c r="C184" s="501" t="s">
        <v>88</v>
      </c>
      <c r="D184" s="459" t="str">
        <f t="shared" si="5"/>
        <v>Negative aspect: no anti-corruption policy</v>
      </c>
      <c r="E184" s="500" t="s">
        <v>1413</v>
      </c>
      <c r="F184" s="460" t="s">
        <v>1414</v>
      </c>
      <c r="G184" s="466" t="s">
        <v>1415</v>
      </c>
      <c r="H184" s="460" t="s">
        <v>1416</v>
      </c>
      <c r="I184" s="460" t="str">
        <f t="shared" si="11"/>
        <v>[fr]Negativ-Aspekt: Mangelnde Korruptionsprävention</v>
      </c>
      <c r="J184" s="497" t="s">
        <v>1417</v>
      </c>
      <c r="K184" s="480"/>
    </row>
    <row r="185" spans="2:11" ht="28.5" customHeight="1">
      <c r="B185" s="457" t="str">
        <f>C185&amp;": "&amp;D185</f>
        <v>E3: Reduction of environmental impact</v>
      </c>
      <c r="C185" s="487" t="s">
        <v>89</v>
      </c>
      <c r="D185" s="459" t="str">
        <f t="shared" si="5"/>
        <v>Reduction of environmental impact</v>
      </c>
      <c r="E185" s="488" t="s">
        <v>1418</v>
      </c>
      <c r="F185" s="489" t="s">
        <v>1419</v>
      </c>
      <c r="G185" s="466" t="s">
        <v>1420</v>
      </c>
      <c r="H185" s="460" t="s">
        <v>1421</v>
      </c>
      <c r="I185" s="460" t="str">
        <f t="shared" si="11"/>
        <v>[fr]Reduktion ökologischer Auswirkungen</v>
      </c>
      <c r="J185" s="495" t="s">
        <v>1422</v>
      </c>
      <c r="K185" s="480"/>
    </row>
    <row r="186" spans="2:11" ht="28.5" customHeight="1">
      <c r="C186" s="496" t="s">
        <v>90</v>
      </c>
      <c r="D186" s="459" t="str">
        <f t="shared" si="5"/>
        <v>Absolute impact and management strategy</v>
      </c>
      <c r="E186" s="491" t="s">
        <v>1423</v>
      </c>
      <c r="F186" s="460" t="s">
        <v>1424</v>
      </c>
      <c r="G186" s="466" t="s">
        <v>1425</v>
      </c>
      <c r="H186" s="460" t="s">
        <v>1426</v>
      </c>
      <c r="I186" s="460" t="str">
        <f t="shared" si="11"/>
        <v>[fr]Absolute Auswirkungen / Management &amp; Strategie</v>
      </c>
      <c r="J186" s="497" t="s">
        <v>1427</v>
      </c>
      <c r="K186" s="480"/>
    </row>
    <row r="187" spans="2:11" ht="15.75" customHeight="1">
      <c r="C187" s="36" t="s">
        <v>91</v>
      </c>
      <c r="D187" s="506" t="str">
        <f t="shared" si="5"/>
        <v>Relative impact</v>
      </c>
      <c r="E187" s="498" t="s">
        <v>1428</v>
      </c>
      <c r="F187" s="460" t="s">
        <v>1429</v>
      </c>
      <c r="G187" s="466" t="s">
        <v>1430</v>
      </c>
      <c r="H187" s="460" t="s">
        <v>1431</v>
      </c>
      <c r="I187" s="460" t="str">
        <f t="shared" si="11"/>
        <v>[fr]Relative Auswirkungen</v>
      </c>
      <c r="J187" s="497" t="s">
        <v>1432</v>
      </c>
      <c r="K187" s="480"/>
    </row>
    <row r="188" spans="2:11" ht="41.85" customHeight="1">
      <c r="C188" s="501" t="s">
        <v>92</v>
      </c>
      <c r="D188" s="459" t="str">
        <f t="shared" si="5"/>
        <v>Negative aspect: infringement of environmental regulations and disproportionate environmental pollution</v>
      </c>
      <c r="E188" s="500" t="s">
        <v>1433</v>
      </c>
      <c r="F188" s="460" t="s">
        <v>1434</v>
      </c>
      <c r="G188" s="466" t="s">
        <v>1435</v>
      </c>
      <c r="H188" s="460" t="s">
        <v>1436</v>
      </c>
      <c r="I188" s="460" t="str">
        <f t="shared" si="11"/>
        <v>[fr]Negativ-Aspekt: Verstöße gegen Umweltauflagen sowie unangemessene Umweltbelastungen</v>
      </c>
      <c r="J188" s="497" t="s">
        <v>1437</v>
      </c>
      <c r="K188" s="480"/>
    </row>
    <row r="189" spans="2:11" ht="28.5" customHeight="1">
      <c r="B189" s="457" t="str">
        <f>C189&amp;": "&amp;D189</f>
        <v>E4: Social co-determination and transparency</v>
      </c>
      <c r="C189" s="487" t="s">
        <v>93</v>
      </c>
      <c r="D189" s="459" t="str">
        <f t="shared" si="5"/>
        <v>Social co-determination and transparency</v>
      </c>
      <c r="E189" s="488" t="s">
        <v>1438</v>
      </c>
      <c r="F189" s="489" t="s">
        <v>1439</v>
      </c>
      <c r="G189" s="466" t="s">
        <v>1440</v>
      </c>
      <c r="H189" s="460" t="s">
        <v>1441</v>
      </c>
      <c r="I189" s="460" t="str">
        <f t="shared" si="11"/>
        <v>[fr]Transparenz und gesellschaftliche Mitentscheidung</v>
      </c>
      <c r="J189" s="495" t="s">
        <v>1442</v>
      </c>
      <c r="K189" s="480"/>
    </row>
    <row r="190" spans="2:11" ht="15.75" customHeight="1">
      <c r="C190" s="496" t="s">
        <v>94</v>
      </c>
      <c r="D190" s="459" t="str">
        <f t="shared" si="5"/>
        <v>Transparency</v>
      </c>
      <c r="E190" s="491" t="s">
        <v>1443</v>
      </c>
      <c r="F190" s="460" t="s">
        <v>1444</v>
      </c>
      <c r="G190" s="466" t="s">
        <v>1445</v>
      </c>
      <c r="H190" s="460" t="s">
        <v>1446</v>
      </c>
      <c r="I190" s="460" t="str">
        <f t="shared" si="11"/>
        <v>[fr]Transparenz</v>
      </c>
      <c r="J190" s="497" t="s">
        <v>1447</v>
      </c>
      <c r="K190" s="480"/>
    </row>
    <row r="191" spans="2:11" ht="28.5" customHeight="1">
      <c r="C191" s="496" t="s">
        <v>95</v>
      </c>
      <c r="D191" s="506" t="str">
        <f t="shared" si="5"/>
        <v>Social participation</v>
      </c>
      <c r="E191" s="491" t="s">
        <v>1448</v>
      </c>
      <c r="F191" s="460" t="s">
        <v>1449</v>
      </c>
      <c r="G191" s="466" t="s">
        <v>1450</v>
      </c>
      <c r="H191" s="460" t="s">
        <v>1451</v>
      </c>
      <c r="I191" s="460" t="str">
        <f t="shared" si="11"/>
        <v>[fr]Gesellschaftliche Mitbestimmung</v>
      </c>
      <c r="J191" s="497" t="s">
        <v>1452</v>
      </c>
      <c r="K191" s="480"/>
    </row>
    <row r="192" spans="2:11" ht="28.5" customHeight="1">
      <c r="C192" s="496" t="s">
        <v>96</v>
      </c>
      <c r="D192" s="459" t="str">
        <f t="shared" si="5"/>
        <v>Negative aspect: lack of transparency and wilful misinformation</v>
      </c>
      <c r="E192" s="491" t="s">
        <v>1453</v>
      </c>
      <c r="F192" s="460" t="s">
        <v>1454</v>
      </c>
      <c r="G192" s="466" t="s">
        <v>1455</v>
      </c>
      <c r="H192" s="460" t="s">
        <v>1456</v>
      </c>
      <c r="I192" s="460" t="str">
        <f t="shared" si="11"/>
        <v>[fr]Negativ-Aspekt: Förderung von Intransparenz und bewusste Fehlinformation</v>
      </c>
      <c r="J192" s="497" t="s">
        <v>1457</v>
      </c>
      <c r="K192" s="480"/>
    </row>
    <row r="193" spans="4:11" ht="15.75" customHeight="1">
      <c r="D193" s="459">
        <f t="shared" si="5"/>
        <v>0</v>
      </c>
      <c r="E193" s="460"/>
      <c r="G193" s="466"/>
      <c r="H193" s="460"/>
      <c r="I193" s="460"/>
      <c r="J193" s="460"/>
      <c r="K193" s="460"/>
    </row>
    <row r="194" spans="4:11" ht="15.75" customHeight="1">
      <c r="D194" s="459" t="str">
        <f t="shared" si="5"/>
        <v>Company details</v>
      </c>
      <c r="E194" s="460" t="s">
        <v>1458</v>
      </c>
      <c r="F194" s="460" t="s">
        <v>1459</v>
      </c>
      <c r="G194" s="466" t="s">
        <v>1460</v>
      </c>
      <c r="H194" s="460" t="s">
        <v>1461</v>
      </c>
      <c r="I194" s="460" t="str">
        <f>"[fr]"&amp;E194</f>
        <v>[fr]Fakten zum Unternehmen</v>
      </c>
      <c r="J194" s="460" t="str">
        <f>"[pt]"&amp;E194</f>
        <v>[pt]Fakten zum Unternehmen</v>
      </c>
      <c r="K194" s="460" t="str">
        <f>"[gr]"&amp;E194</f>
        <v>[gr]Fakten zum Unternehmen</v>
      </c>
    </row>
    <row r="195" spans="4:11" ht="121.5" customHeight="1">
      <c r="D195" s="459" t="str">
        <f t="shared" si="5"/>
        <v>Fill in the highlighted fields below. Where detailed information is not available, please enter estimates, otherwise the calculation will not be accurate</v>
      </c>
      <c r="E195" s="465" t="s">
        <v>1462</v>
      </c>
      <c r="F195" s="460" t="s">
        <v>1463</v>
      </c>
      <c r="G195" s="466" t="s">
        <v>1464</v>
      </c>
      <c r="H195" s="460" t="s">
        <v>1465</v>
      </c>
      <c r="I195" s="460" t="str">
        <f>"[fr]"&amp;E195</f>
        <v xml:space="preserve">[fr]Bitte füllen Sie die farblich markierten Felder mit Daten für den Bilanzierungszeitraum, meist das Geschäftsjahr, aus. Falls der Bilanzierungszeitraum länger als 1 Jahr ist können Sie auch ein Geschäftsjahr aus dem Bilanzierungszeitraum auswählen. Sollten dennoch keine konkreten Daten vorliegen bitte um grobe Schätzungen, da die Berechnung sonst fehlerhaft ist. </v>
      </c>
      <c r="J195" s="460" t="str">
        <f>"[pt]"&amp;E195</f>
        <v xml:space="preserve">[pt]Bitte füllen Sie die farblich markierten Felder mit Daten für den Bilanzierungszeitraum, meist das Geschäftsjahr, aus. Falls der Bilanzierungszeitraum länger als 1 Jahr ist können Sie auch ein Geschäftsjahr aus dem Bilanzierungszeitraum auswählen. Sollten dennoch keine konkreten Daten vorliegen bitte um grobe Schätzungen, da die Berechnung sonst fehlerhaft ist. </v>
      </c>
      <c r="K195" s="460" t="str">
        <f>"[gr]"&amp;E195</f>
        <v xml:space="preserve">[gr]Bitte füllen Sie die farblich markierten Felder mit Daten für den Bilanzierungszeitraum, meist das Geschäftsjahr, aus. Falls der Bilanzierungszeitraum länger als 1 Jahr ist können Sie auch ein Geschäftsjahr aus dem Bilanzierungszeitraum auswählen. Sollten dennoch keine konkreten Daten vorliegen bitte um grobe Schätzungen, da die Berechnung sonst fehlerhaft ist. </v>
      </c>
    </row>
    <row r="196" spans="4:11" ht="15.75" customHeight="1">
      <c r="D196" s="459">
        <f t="shared" si="5"/>
        <v>0</v>
      </c>
      <c r="E196" s="460"/>
      <c r="G196" s="466"/>
      <c r="H196" s="460"/>
      <c r="I196" s="460"/>
      <c r="J196" s="460"/>
      <c r="K196" s="460"/>
    </row>
    <row r="197" spans="4:11" ht="15.75" customHeight="1">
      <c r="D197" s="459">
        <f t="shared" si="5"/>
        <v>0</v>
      </c>
      <c r="E197" s="460"/>
      <c r="G197" s="466"/>
      <c r="H197" s="460"/>
      <c r="I197" s="460"/>
      <c r="J197" s="460"/>
      <c r="K197" s="460"/>
    </row>
    <row r="198" spans="4:11" ht="15.75" customHeight="1">
      <c r="D198" s="459">
        <f t="shared" si="5"/>
        <v>0</v>
      </c>
      <c r="E198" s="460"/>
      <c r="G198" s="466"/>
      <c r="H198" s="460"/>
      <c r="I198" s="460"/>
      <c r="J198" s="460"/>
      <c r="K198" s="460"/>
    </row>
    <row r="199" spans="4:11" ht="15.75" customHeight="1">
      <c r="D199" s="459">
        <f t="shared" si="5"/>
        <v>0</v>
      </c>
      <c r="E199" s="460"/>
      <c r="G199" s="466"/>
      <c r="H199" s="460"/>
      <c r="I199" s="460"/>
      <c r="J199" s="460"/>
      <c r="K199" s="460"/>
    </row>
    <row r="200" spans="4:11" ht="15.75" customHeight="1">
      <c r="D200" s="459">
        <f t="shared" si="5"/>
        <v>0</v>
      </c>
      <c r="E200" s="460"/>
      <c r="G200" s="466"/>
      <c r="H200" s="460"/>
      <c r="I200" s="460"/>
      <c r="J200" s="460"/>
      <c r="K200" s="460"/>
    </row>
    <row r="201" spans="4:11" ht="15.75" customHeight="1">
      <c r="D201" s="459">
        <f t="shared" si="5"/>
        <v>0</v>
      </c>
      <c r="E201" s="460"/>
      <c r="G201" s="466"/>
      <c r="H201" s="460"/>
      <c r="I201" s="460"/>
      <c r="J201" s="460"/>
      <c r="K201" s="460"/>
    </row>
    <row r="202" spans="4:11" ht="15.75" customHeight="1">
      <c r="D202" s="459" t="str">
        <f t="shared" si="5"/>
        <v>Please enter</v>
      </c>
      <c r="E202" s="460" t="s">
        <v>1466</v>
      </c>
      <c r="F202" s="460" t="s">
        <v>1467</v>
      </c>
      <c r="G202" s="466" t="s">
        <v>1468</v>
      </c>
      <c r="H202" s="460" t="s">
        <v>1469</v>
      </c>
      <c r="I202" s="460" t="str">
        <f t="shared" ref="I202:I338" si="12">"[fr]"&amp;E202</f>
        <v>[fr]bitte einfügen</v>
      </c>
      <c r="J202" s="460" t="str">
        <f t="shared" ref="J202:J456" si="13">"[pt]"&amp;E202</f>
        <v>[pt]bitte einfügen</v>
      </c>
      <c r="K202" s="460" t="str">
        <f t="shared" ref="K202:K456" si="14">"[gr]"&amp;E202</f>
        <v>[gr]bitte einfügen</v>
      </c>
    </row>
    <row r="203" spans="4:11" ht="15.75" customHeight="1">
      <c r="D203" s="459" t="str">
        <f t="shared" si="5"/>
        <v>Please choose</v>
      </c>
      <c r="E203" s="460" t="s">
        <v>1470</v>
      </c>
      <c r="F203" s="460" t="s">
        <v>1471</v>
      </c>
      <c r="G203" s="466" t="s">
        <v>1472</v>
      </c>
      <c r="H203" s="460" t="s">
        <v>1473</v>
      </c>
      <c r="I203" s="460" t="str">
        <f t="shared" si="12"/>
        <v>[fr]Bitte Auswählen</v>
      </c>
      <c r="J203" s="460" t="str">
        <f t="shared" si="13"/>
        <v>[pt]Bitte Auswählen</v>
      </c>
      <c r="K203" s="460" t="str">
        <f t="shared" si="14"/>
        <v>[gr]Bitte Auswählen</v>
      </c>
    </row>
    <row r="204" spans="4:11" ht="15.75" customHeight="1">
      <c r="D204" s="459" t="str">
        <f t="shared" si="5"/>
        <v>Description of the weighting model</v>
      </c>
      <c r="E204" s="460" t="s">
        <v>1474</v>
      </c>
      <c r="F204" s="460" t="s">
        <v>1475</v>
      </c>
      <c r="G204" s="466" t="s">
        <v>1476</v>
      </c>
      <c r="H204" s="460" t="s">
        <v>1477</v>
      </c>
      <c r="I204" s="460" t="str">
        <f t="shared" si="12"/>
        <v>[fr]Beschreibung des Gewichtungsmodelles</v>
      </c>
      <c r="J204" s="460" t="str">
        <f t="shared" si="13"/>
        <v>[pt]Beschreibung des Gewichtungsmodelles</v>
      </c>
      <c r="K204" s="460" t="str">
        <f t="shared" si="14"/>
        <v>[gr]Beschreibung des Gewichtungsmodelles</v>
      </c>
    </row>
    <row r="205" spans="4:11" ht="15.75" customHeight="1">
      <c r="D205" s="459" t="str">
        <f t="shared" si="5"/>
        <v>Themes</v>
      </c>
      <c r="E205" s="460" t="s">
        <v>1478</v>
      </c>
      <c r="F205" s="460" t="s">
        <v>1479</v>
      </c>
      <c r="G205" s="466" t="s">
        <v>1480</v>
      </c>
      <c r="H205" s="460" t="s">
        <v>1481</v>
      </c>
      <c r="I205" s="460" t="str">
        <f t="shared" si="12"/>
        <v>[fr]Themen</v>
      </c>
      <c r="J205" s="460" t="str">
        <f t="shared" si="13"/>
        <v>[pt]Themen</v>
      </c>
      <c r="K205" s="460" t="str">
        <f t="shared" si="14"/>
        <v>[gr]Themen</v>
      </c>
    </row>
    <row r="206" spans="4:11" ht="28.5" customHeight="1">
      <c r="D206" s="459" t="str">
        <f t="shared" si="5"/>
        <v>Values ►
Stakekolders ▼</v>
      </c>
      <c r="E206" s="507" t="s">
        <v>1482</v>
      </c>
      <c r="F206" s="507" t="s">
        <v>1483</v>
      </c>
      <c r="G206" s="507" t="s">
        <v>1484</v>
      </c>
      <c r="H206" s="460" t="s">
        <v>1485</v>
      </c>
      <c r="I206" s="460" t="str">
        <f t="shared" si="12"/>
        <v>[fr]Werte ►
Berührungsgruppe ▼</v>
      </c>
      <c r="J206" s="460" t="str">
        <f t="shared" si="13"/>
        <v>[pt]Werte ►
Berührungsgruppe ▼</v>
      </c>
      <c r="K206" s="460" t="str">
        <f t="shared" si="14"/>
        <v>[gr]Werte ►
Berührungsgruppe ▼</v>
      </c>
    </row>
    <row r="207" spans="4:11" ht="15.75" customHeight="1">
      <c r="D207" s="459" t="str">
        <f t="shared" si="5"/>
        <v>Stakekolders &amp; values</v>
      </c>
      <c r="E207" s="460" t="s">
        <v>1486</v>
      </c>
      <c r="F207" s="507" t="s">
        <v>1487</v>
      </c>
      <c r="G207" s="508" t="s">
        <v>1488</v>
      </c>
      <c r="H207" s="460" t="s">
        <v>1489</v>
      </c>
      <c r="I207" s="460" t="str">
        <f t="shared" si="12"/>
        <v>[fr]Berührungsgruppen &amp; Werte</v>
      </c>
      <c r="J207" s="460" t="str">
        <f t="shared" si="13"/>
        <v>[pt]Berührungsgruppen &amp; Werte</v>
      </c>
      <c r="K207" s="460" t="str">
        <f t="shared" si="14"/>
        <v>[gr]Berührungsgruppen &amp; Werte</v>
      </c>
    </row>
    <row r="208" spans="4:11" ht="15.75" customHeight="1">
      <c r="D208" s="459" t="str">
        <f t="shared" si="5"/>
        <v>General</v>
      </c>
      <c r="E208" s="460" t="s">
        <v>1490</v>
      </c>
      <c r="F208" s="460" t="s">
        <v>1491</v>
      </c>
      <c r="G208" s="466" t="s">
        <v>1492</v>
      </c>
      <c r="H208" s="460" t="s">
        <v>1492</v>
      </c>
      <c r="I208" s="460" t="str">
        <f t="shared" si="12"/>
        <v>[fr]Allgemein</v>
      </c>
      <c r="J208" s="460" t="str">
        <f t="shared" si="13"/>
        <v>[pt]Allgemein</v>
      </c>
      <c r="K208" s="460" t="str">
        <f t="shared" si="14"/>
        <v>[gr]Allgemein</v>
      </c>
    </row>
    <row r="209" spans="4:11" ht="15.75" customHeight="1">
      <c r="D209" s="459" t="str">
        <f t="shared" si="5"/>
        <v>Notes</v>
      </c>
      <c r="E209" s="460" t="s">
        <v>1493</v>
      </c>
      <c r="F209" s="460" t="s">
        <v>1494</v>
      </c>
      <c r="G209" s="466" t="s">
        <v>1495</v>
      </c>
      <c r="H209" s="460" t="s">
        <v>1496</v>
      </c>
      <c r="I209" s="460" t="str">
        <f t="shared" si="12"/>
        <v>[fr]Anmerkungen</v>
      </c>
      <c r="J209" s="460" t="str">
        <f t="shared" si="13"/>
        <v>[pt]Anmerkungen</v>
      </c>
      <c r="K209" s="460" t="str">
        <f t="shared" si="14"/>
        <v>[gr]Anmerkungen</v>
      </c>
    </row>
    <row r="210" spans="4:11" ht="15.75" customHeight="1">
      <c r="D210" s="459" t="str">
        <f t="shared" si="5"/>
        <v xml:space="preserve"> (scaled for STs)</v>
      </c>
      <c r="E210" s="460" t="s">
        <v>1497</v>
      </c>
      <c r="F210" s="460" t="s">
        <v>1498</v>
      </c>
      <c r="G210" s="466" t="s">
        <v>1499</v>
      </c>
      <c r="H210" s="460" t="s">
        <v>1500</v>
      </c>
      <c r="I210" s="460" t="str">
        <f t="shared" si="12"/>
        <v>[fr] (für EPUs skaliert)</v>
      </c>
      <c r="J210" s="460" t="str">
        <f t="shared" si="13"/>
        <v>[pt] (für EPUs skaliert)</v>
      </c>
      <c r="K210" s="460" t="str">
        <f t="shared" si="14"/>
        <v>[gr] (für EPUs skaliert)</v>
      </c>
    </row>
    <row r="211" spans="4:11" ht="15.75" customHeight="1">
      <c r="D211" s="459" t="str">
        <f t="shared" si="5"/>
        <v xml:space="preserve"> (not relevant for STs)</v>
      </c>
      <c r="E211" s="460" t="s">
        <v>1501</v>
      </c>
      <c r="F211" s="460" t="s">
        <v>1502</v>
      </c>
      <c r="G211" s="466" t="s">
        <v>1503</v>
      </c>
      <c r="H211" s="460" t="s">
        <v>1504</v>
      </c>
      <c r="I211" s="460" t="str">
        <f t="shared" si="12"/>
        <v>[fr] (für EPUs nicht relevant)</v>
      </c>
      <c r="J211" s="460" t="str">
        <f t="shared" si="13"/>
        <v>[pt] (für EPUs nicht relevant)</v>
      </c>
      <c r="K211" s="460" t="str">
        <f t="shared" si="14"/>
        <v>[gr] (für EPUs nicht relevant)</v>
      </c>
    </row>
    <row r="212" spans="4:11" ht="15.75" customHeight="1">
      <c r="D212" s="459" t="str">
        <f t="shared" si="5"/>
        <v>Note: This is not a certificate.</v>
      </c>
      <c r="E212" s="460" t="s">
        <v>1505</v>
      </c>
      <c r="F212" s="460" t="s">
        <v>1506</v>
      </c>
      <c r="G212" s="466" t="s">
        <v>1507</v>
      </c>
      <c r="H212" s="460" t="s">
        <v>1508</v>
      </c>
      <c r="I212" s="460" t="str">
        <f t="shared" si="12"/>
        <v>[fr]Anmerkung: Dies ist kein Testat.</v>
      </c>
      <c r="J212" s="460" t="str">
        <f t="shared" si="13"/>
        <v>[pt]Anmerkung: Dies ist kein Testat.</v>
      </c>
      <c r="K212" s="460" t="str">
        <f t="shared" si="14"/>
        <v>[gr]Anmerkung: Dies ist kein Testat.</v>
      </c>
    </row>
    <row r="213" spans="4:11" ht="15.75" customHeight="1">
      <c r="D213" s="459" t="str">
        <f t="shared" si="5"/>
        <v>COMMON GOOD MATRIX</v>
      </c>
      <c r="E213" s="460" t="s">
        <v>1509</v>
      </c>
      <c r="F213" s="460" t="s">
        <v>1510</v>
      </c>
      <c r="G213" s="466" t="s">
        <v>1511</v>
      </c>
      <c r="H213" s="460" t="s">
        <v>1512</v>
      </c>
      <c r="I213" s="460" t="str">
        <f t="shared" si="12"/>
        <v>[fr]GEMEINWOHL-MATRIX</v>
      </c>
      <c r="J213" s="460" t="str">
        <f t="shared" si="13"/>
        <v>[pt]GEMEINWOHL-MATRIX</v>
      </c>
      <c r="K213" s="460" t="str">
        <f t="shared" si="14"/>
        <v>[gr]GEMEINWOHL-MATRIX</v>
      </c>
    </row>
    <row r="214" spans="4:11" ht="15.75" customHeight="1">
      <c r="D214" s="459" t="str">
        <f t="shared" si="5"/>
        <v>of</v>
      </c>
      <c r="E214" s="460" t="s">
        <v>1513</v>
      </c>
      <c r="F214" s="460" t="s">
        <v>1514</v>
      </c>
      <c r="G214" s="466" t="s">
        <v>1515</v>
      </c>
      <c r="H214" s="460" t="s">
        <v>1516</v>
      </c>
      <c r="I214" s="460" t="str">
        <f t="shared" si="12"/>
        <v xml:space="preserve">[fr] von </v>
      </c>
      <c r="J214" s="460" t="str">
        <f t="shared" si="13"/>
        <v xml:space="preserve">[pt] von </v>
      </c>
      <c r="K214" s="460" t="str">
        <f t="shared" si="14"/>
        <v xml:space="preserve">[gr] von </v>
      </c>
    </row>
    <row r="215" spans="4:11" ht="15.75" customHeight="1">
      <c r="D215" s="459" t="str">
        <f t="shared" si="5"/>
        <v xml:space="preserve"> points</v>
      </c>
      <c r="E215" s="460" t="s">
        <v>1517</v>
      </c>
      <c r="F215" s="460" t="s">
        <v>1518</v>
      </c>
      <c r="G215" s="466" t="s">
        <v>1519</v>
      </c>
      <c r="H215" s="460" t="s">
        <v>3200</v>
      </c>
      <c r="I215" s="460" t="str">
        <f t="shared" si="12"/>
        <v>[fr] Punkten</v>
      </c>
      <c r="J215" s="460" t="str">
        <f t="shared" si="13"/>
        <v>[pt] Punkten</v>
      </c>
      <c r="K215" s="460" t="str">
        <f t="shared" si="14"/>
        <v>[gr] Punkten</v>
      </c>
    </row>
    <row r="216" spans="4:11" ht="15.75" customHeight="1">
      <c r="D216" s="459" t="str">
        <f t="shared" si="5"/>
        <v>Human dignity</v>
      </c>
      <c r="E216" s="460" t="s">
        <v>1520</v>
      </c>
      <c r="F216" s="460" t="s">
        <v>1521</v>
      </c>
      <c r="G216" s="466" t="s">
        <v>1522</v>
      </c>
      <c r="H216" s="460" t="s">
        <v>1523</v>
      </c>
      <c r="I216" s="460" t="str">
        <f t="shared" si="12"/>
        <v>[fr]Menschenwürde</v>
      </c>
      <c r="J216" s="460" t="str">
        <f t="shared" si="13"/>
        <v>[pt]Menschenwürde</v>
      </c>
      <c r="K216" s="460" t="str">
        <f t="shared" si="14"/>
        <v>[gr]Menschenwürde</v>
      </c>
    </row>
    <row r="217" spans="4:11" ht="15.75" customHeight="1">
      <c r="D217" s="459" t="str">
        <f t="shared" si="5"/>
        <v>Solidarity &amp; social justice</v>
      </c>
      <c r="E217" s="460" t="s">
        <v>1524</v>
      </c>
      <c r="F217" s="460" t="s">
        <v>1525</v>
      </c>
      <c r="G217" s="466" t="s">
        <v>1526</v>
      </c>
      <c r="H217" s="460" t="s">
        <v>1527</v>
      </c>
      <c r="I217" s="460" t="str">
        <f t="shared" si="12"/>
        <v>[fr]Solidarität &amp; Gerechtigkeit</v>
      </c>
      <c r="J217" s="460" t="str">
        <f t="shared" si="13"/>
        <v>[pt]Solidarität &amp; Gerechtigkeit</v>
      </c>
      <c r="K217" s="460" t="str">
        <f t="shared" si="14"/>
        <v>[gr]Solidarität &amp; Gerechtigkeit</v>
      </c>
    </row>
    <row r="218" spans="4:11" ht="15.75" customHeight="1">
      <c r="D218" s="459" t="str">
        <f t="shared" si="5"/>
        <v>Environmental sustainability</v>
      </c>
      <c r="E218" s="460" t="s">
        <v>1528</v>
      </c>
      <c r="F218" s="460" t="s">
        <v>1529</v>
      </c>
      <c r="G218" s="466" t="s">
        <v>1530</v>
      </c>
      <c r="H218" s="460" t="s">
        <v>1531</v>
      </c>
      <c r="I218" s="460" t="str">
        <f t="shared" si="12"/>
        <v>[fr]Ökologische Nachhaltigkeit</v>
      </c>
      <c r="J218" s="460" t="str">
        <f t="shared" si="13"/>
        <v>[pt]Ökologische Nachhaltigkeit</v>
      </c>
      <c r="K218" s="460" t="str">
        <f t="shared" si="14"/>
        <v>[gr]Ökologische Nachhaltigkeit</v>
      </c>
    </row>
    <row r="219" spans="4:11" ht="15.75" customHeight="1">
      <c r="D219" s="459" t="str">
        <f t="shared" si="5"/>
        <v>Transparency &amp; co-determination</v>
      </c>
      <c r="E219" s="460" t="s">
        <v>1532</v>
      </c>
      <c r="F219" s="460" t="s">
        <v>1533</v>
      </c>
      <c r="G219" s="466" t="s">
        <v>1534</v>
      </c>
      <c r="H219" s="460" t="s">
        <v>1535</v>
      </c>
      <c r="I219" s="460" t="str">
        <f t="shared" si="12"/>
        <v>[fr]Transparenz &amp; Mitentscheidung</v>
      </c>
      <c r="J219" s="460" t="str">
        <f t="shared" si="13"/>
        <v>[pt]Transparenz &amp; Mitentscheidung</v>
      </c>
      <c r="K219" s="460" t="str">
        <f t="shared" si="14"/>
        <v>[gr]Transparenz &amp; Mitentscheidung</v>
      </c>
    </row>
    <row r="220" spans="4:11" ht="15.75" customHeight="1">
      <c r="D220" s="459" t="str">
        <f t="shared" si="5"/>
        <v>Common Good Star for</v>
      </c>
      <c r="E220" s="460" t="s">
        <v>1536</v>
      </c>
      <c r="F220" s="460" t="s">
        <v>1537</v>
      </c>
      <c r="G220" s="466" t="s">
        <v>1538</v>
      </c>
      <c r="H220" s="460" t="s">
        <v>1539</v>
      </c>
      <c r="I220" s="460" t="str">
        <f t="shared" si="12"/>
        <v>[fr]Gemeinwohl-Stern für</v>
      </c>
      <c r="J220" s="460" t="str">
        <f t="shared" si="13"/>
        <v>[pt]Gemeinwohl-Stern für</v>
      </c>
      <c r="K220" s="460" t="str">
        <f t="shared" si="14"/>
        <v>[gr]Gemeinwohl-Stern für</v>
      </c>
    </row>
    <row r="221" spans="4:11" ht="15.75" customHeight="1">
      <c r="D221" s="459" t="str">
        <f t="shared" si="5"/>
        <v>BALANCE OVERVIEW</v>
      </c>
      <c r="E221" s="460" t="s">
        <v>1540</v>
      </c>
      <c r="F221" s="460" t="s">
        <v>1541</v>
      </c>
      <c r="G221" s="466" t="s">
        <v>1542</v>
      </c>
      <c r="H221" s="460" t="s">
        <v>1543</v>
      </c>
      <c r="I221" s="460" t="str">
        <f t="shared" si="12"/>
        <v>[fr]BILANZ-ÜBERSICHT</v>
      </c>
      <c r="J221" s="460" t="str">
        <f t="shared" si="13"/>
        <v>[pt]BILANZ-ÜBERSICHT</v>
      </c>
      <c r="K221" s="460" t="str">
        <f t="shared" si="14"/>
        <v>[gr]BILANZ-ÜBERSICHT</v>
      </c>
    </row>
    <row r="222" spans="4:11" ht="15.75" customHeight="1">
      <c r="D222" s="459" t="str">
        <f t="shared" si="5"/>
        <v>TRANSPARENCY &amp; CO-DETERMINATION</v>
      </c>
      <c r="E222" s="460" t="s">
        <v>1544</v>
      </c>
      <c r="F222" s="460" t="s">
        <v>1545</v>
      </c>
      <c r="G222" s="466" t="s">
        <v>1546</v>
      </c>
      <c r="H222" s="460" t="s">
        <v>1547</v>
      </c>
      <c r="I222" s="460" t="str">
        <f t="shared" si="12"/>
        <v>[fr]MITBESTIMMUNG UND TRANSPARENZ</v>
      </c>
      <c r="J222" s="460" t="str">
        <f t="shared" si="13"/>
        <v>[pt]MITBESTIMMUNG UND TRANSPARENZ</v>
      </c>
      <c r="K222" s="460" t="str">
        <f t="shared" si="14"/>
        <v>[gr]MITBESTIMMUNG UND TRANSPARENZ</v>
      </c>
    </row>
    <row r="223" spans="4:11" ht="15.75" customHeight="1">
      <c r="D223" s="459" t="str">
        <f t="shared" si="5"/>
        <v>HUMAN DIGNITY</v>
      </c>
      <c r="E223" s="460" t="s">
        <v>1548</v>
      </c>
      <c r="F223" s="460" t="s">
        <v>1549</v>
      </c>
      <c r="G223" s="466" t="s">
        <v>1550</v>
      </c>
      <c r="H223" s="460" t="s">
        <v>1551</v>
      </c>
      <c r="I223" s="460" t="str">
        <f t="shared" si="12"/>
        <v>[fr]MENSCHENWÜRDE</v>
      </c>
      <c r="J223" s="460" t="str">
        <f t="shared" si="13"/>
        <v>[pt]MENSCHENWÜRDE</v>
      </c>
      <c r="K223" s="460" t="str">
        <f t="shared" si="14"/>
        <v>[gr]MENSCHENWÜRDE</v>
      </c>
    </row>
    <row r="224" spans="4:11" ht="15.75" customHeight="1">
      <c r="D224" s="459" t="str">
        <f t="shared" si="5"/>
        <v>SOLIDARITY</v>
      </c>
      <c r="E224" s="460" t="s">
        <v>1552</v>
      </c>
      <c r="F224" s="460" t="s">
        <v>1553</v>
      </c>
      <c r="G224" s="466" t="s">
        <v>1554</v>
      </c>
      <c r="H224" s="460" t="s">
        <v>1555</v>
      </c>
      <c r="I224" s="460" t="str">
        <f t="shared" si="12"/>
        <v>[fr]SOLIDARITÄT</v>
      </c>
      <c r="J224" s="460" t="str">
        <f t="shared" si="13"/>
        <v>[pt]SOLIDARITÄT</v>
      </c>
      <c r="K224" s="460" t="str">
        <f t="shared" si="14"/>
        <v>[gr]SOLIDARITÄT</v>
      </c>
    </row>
    <row r="225" spans="3:11" ht="15.75" customHeight="1">
      <c r="D225" s="459" t="str">
        <f t="shared" si="5"/>
        <v>ENVIRONMENTAL SUSTAINABILITY</v>
      </c>
      <c r="E225" s="460" t="s">
        <v>1556</v>
      </c>
      <c r="F225" s="460" t="s">
        <v>1557</v>
      </c>
      <c r="G225" s="466" t="s">
        <v>1558</v>
      </c>
      <c r="H225" s="460" t="s">
        <v>1559</v>
      </c>
      <c r="I225" s="460" t="str">
        <f t="shared" si="12"/>
        <v>[fr]ÖKOLOGISCHE NACHHALTIGKEIT</v>
      </c>
      <c r="J225" s="460" t="str">
        <f t="shared" si="13"/>
        <v>[pt]ÖKOLOGISCHE NACHHALTIGKEIT</v>
      </c>
      <c r="K225" s="460" t="str">
        <f t="shared" si="14"/>
        <v>[gr]ÖKOLOGISCHE NACHHALTIGKEIT</v>
      </c>
    </row>
    <row r="226" spans="3:11" ht="15.75" customHeight="1">
      <c r="D226" s="459" t="str">
        <f t="shared" si="5"/>
        <v>SOCIAL JUSTICE</v>
      </c>
      <c r="E226" s="460" t="s">
        <v>1560</v>
      </c>
      <c r="F226" s="460" t="s">
        <v>1561</v>
      </c>
      <c r="G226" s="466" t="s">
        <v>1562</v>
      </c>
      <c r="H226" s="460" t="s">
        <v>1563</v>
      </c>
      <c r="I226" s="460" t="str">
        <f t="shared" si="12"/>
        <v>[fr]SOZIALE GERECHTIGKEIT</v>
      </c>
      <c r="J226" s="460" t="str">
        <f t="shared" si="13"/>
        <v>[pt]SOZIALE GERECHTIGKEIT</v>
      </c>
      <c r="K226" s="460" t="str">
        <f t="shared" si="14"/>
        <v>[gr]SOZIALE GERECHTIGKEIT</v>
      </c>
    </row>
    <row r="227" spans="3:11" ht="15.75" customHeight="1">
      <c r="D227" s="459" t="str">
        <f t="shared" si="5"/>
        <v>TRANSPARENCY &amp; CO-DETERMINATION</v>
      </c>
      <c r="E227" s="460" t="s">
        <v>1544</v>
      </c>
      <c r="F227" s="460" t="s">
        <v>1545</v>
      </c>
      <c r="G227" s="466" t="s">
        <v>1546</v>
      </c>
      <c r="H227" s="460" t="s">
        <v>1547</v>
      </c>
      <c r="I227" s="460" t="str">
        <f t="shared" si="12"/>
        <v>[fr]MITBESTIMMUNG UND TRANSPARENZ</v>
      </c>
      <c r="J227" s="460" t="str">
        <f t="shared" si="13"/>
        <v>[pt]MITBESTIMMUNG UND TRANSPARENZ</v>
      </c>
      <c r="K227" s="460" t="str">
        <f t="shared" si="14"/>
        <v>[gr]MITBESTIMMUNG UND TRANSPARENZ</v>
      </c>
    </row>
    <row r="228" spans="3:11" ht="15.75" customHeight="1">
      <c r="D228" s="459" t="str">
        <f t="shared" si="5"/>
        <v>TOTAL</v>
      </c>
      <c r="E228" s="460" t="s">
        <v>1564</v>
      </c>
      <c r="F228" s="460" t="s">
        <v>1565</v>
      </c>
      <c r="G228" s="466" t="s">
        <v>1566</v>
      </c>
      <c r="H228" s="460" t="s">
        <v>1566</v>
      </c>
      <c r="I228" s="460" t="str">
        <f t="shared" si="12"/>
        <v>[fr]SUMME</v>
      </c>
      <c r="J228" s="460" t="str">
        <f t="shared" si="13"/>
        <v>[pt]SUMME</v>
      </c>
      <c r="K228" s="460" t="str">
        <f t="shared" si="14"/>
        <v>[gr]SUMME</v>
      </c>
    </row>
    <row r="229" spans="3:11" ht="15.75" customHeight="1">
      <c r="D229" s="459" t="str">
        <f t="shared" si="5"/>
        <v>(scaled for STs)</v>
      </c>
      <c r="E229" s="460" t="s">
        <v>1567</v>
      </c>
      <c r="F229" s="460" t="s">
        <v>1568</v>
      </c>
      <c r="G229" s="466" t="s">
        <v>1569</v>
      </c>
      <c r="H229" s="460" t="s">
        <v>1500</v>
      </c>
      <c r="I229" s="460" t="str">
        <f t="shared" si="12"/>
        <v>[fr](für EPUs skaliert)</v>
      </c>
      <c r="J229" s="460" t="str">
        <f t="shared" si="13"/>
        <v>[pt](für EPUs skaliert)</v>
      </c>
      <c r="K229" s="460" t="str">
        <f t="shared" si="14"/>
        <v>[gr](für EPUs skaliert)</v>
      </c>
    </row>
    <row r="230" spans="3:11" ht="15.75" customHeight="1">
      <c r="D230" s="459" t="str">
        <f t="shared" si="5"/>
        <v>Documentation of assessment</v>
      </c>
      <c r="E230" s="460" t="s">
        <v>1570</v>
      </c>
      <c r="F230" s="460" t="s">
        <v>1571</v>
      </c>
      <c r="G230" s="466" t="s">
        <v>1572</v>
      </c>
      <c r="H230" s="460" t="s">
        <v>1573</v>
      </c>
      <c r="I230" s="460" t="str">
        <f t="shared" si="12"/>
        <v>[fr]Dokumentation der Bewertung</v>
      </c>
      <c r="J230" s="460" t="str">
        <f t="shared" si="13"/>
        <v>[pt]Dokumentation der Bewertung</v>
      </c>
      <c r="K230" s="460" t="str">
        <f t="shared" si="14"/>
        <v>[gr]Dokumentation der Bewertung</v>
      </c>
    </row>
    <row r="231" spans="3:11" ht="15.75" customHeight="1">
      <c r="D231" s="459" t="str">
        <f t="shared" si="5"/>
        <v>Self-assessment</v>
      </c>
      <c r="E231" s="460" t="s">
        <v>1574</v>
      </c>
      <c r="F231" s="460" t="s">
        <v>1575</v>
      </c>
      <c r="G231" s="466" t="s">
        <v>1576</v>
      </c>
      <c r="H231" s="460" t="s">
        <v>1577</v>
      </c>
      <c r="I231" s="460" t="str">
        <f t="shared" si="12"/>
        <v>[fr]Selbsteinschätzung</v>
      </c>
      <c r="J231" s="460" t="str">
        <f t="shared" si="13"/>
        <v>[pt]Selbsteinschätzung</v>
      </c>
      <c r="K231" s="460" t="str">
        <f t="shared" si="14"/>
        <v>[gr]Selbsteinschätzung</v>
      </c>
    </row>
    <row r="232" spans="3:11" ht="15.75" customHeight="1">
      <c r="D232" s="459" t="str">
        <f t="shared" si="5"/>
        <v>Peer-assessment</v>
      </c>
      <c r="E232" s="509" t="s">
        <v>1578</v>
      </c>
      <c r="F232" s="509" t="s">
        <v>1579</v>
      </c>
      <c r="G232" s="510" t="s">
        <v>1580</v>
      </c>
      <c r="H232" s="460" t="s">
        <v>1581</v>
      </c>
      <c r="I232" s="460" t="str">
        <f t="shared" si="12"/>
        <v>[fr]Peer-Evaluation</v>
      </c>
      <c r="J232" s="460" t="str">
        <f t="shared" si="13"/>
        <v>[pt]Peer-Evaluation</v>
      </c>
      <c r="K232" s="460" t="str">
        <f t="shared" si="14"/>
        <v>[gr]Peer-Evaluation</v>
      </c>
    </row>
    <row r="233" spans="3:11" ht="15.75" customHeight="1">
      <c r="D233" s="459" t="str">
        <f t="shared" si="5"/>
        <v>Provisional audit assessment</v>
      </c>
      <c r="E233" s="509" t="s">
        <v>1582</v>
      </c>
      <c r="F233" s="509" t="s">
        <v>1583</v>
      </c>
      <c r="G233" s="510" t="s">
        <v>1584</v>
      </c>
      <c r="H233" s="460" t="s">
        <v>1585</v>
      </c>
      <c r="I233" s="460" t="str">
        <f t="shared" si="12"/>
        <v>[fr]Provisorische Bewertung des externen Audits</v>
      </c>
      <c r="J233" s="460" t="str">
        <f t="shared" si="13"/>
        <v>[pt]Provisorische Bewertung des externen Audits</v>
      </c>
      <c r="K233" s="460" t="str">
        <f t="shared" si="14"/>
        <v>[gr]Provisorische Bewertung des externen Audits</v>
      </c>
    </row>
    <row r="234" spans="3:11" ht="15.75" customHeight="1">
      <c r="D234" s="459" t="str">
        <f t="shared" si="5"/>
        <v>Agreed audit assessment</v>
      </c>
      <c r="E234" s="509" t="s">
        <v>1586</v>
      </c>
      <c r="F234" s="509" t="s">
        <v>1587</v>
      </c>
      <c r="G234" s="510" t="s">
        <v>1588</v>
      </c>
      <c r="H234" s="460" t="s">
        <v>1589</v>
      </c>
      <c r="I234" s="460" t="str">
        <f t="shared" si="12"/>
        <v>[fr]Definitive Bewertung externen Audits /Peer</v>
      </c>
      <c r="J234" s="460" t="str">
        <f t="shared" si="13"/>
        <v>[pt]Definitive Bewertung externen Audits /Peer</v>
      </c>
      <c r="K234" s="460" t="str">
        <f t="shared" si="14"/>
        <v>[gr]Definitive Bewertung externen Audits /Peer</v>
      </c>
    </row>
    <row r="235" spans="3:11" ht="15.75" customHeight="1">
      <c r="D235" s="459" t="str">
        <f t="shared" si="5"/>
        <v>Password for EXCEL sheet protection "ebc"</v>
      </c>
      <c r="E235" s="460" t="s">
        <v>1590</v>
      </c>
      <c r="F235" s="460" t="s">
        <v>1591</v>
      </c>
      <c r="G235" s="466" t="s">
        <v>1592</v>
      </c>
      <c r="H235" s="460" t="s">
        <v>1593</v>
      </c>
      <c r="I235" s="460" t="str">
        <f t="shared" si="12"/>
        <v>[fr]Passwort für den Schutz der Tabellen: „ebc“</v>
      </c>
      <c r="J235" s="460" t="str">
        <f t="shared" si="13"/>
        <v>[pt]Passwort für den Schutz der Tabellen: „ebc“</v>
      </c>
      <c r="K235" s="460" t="str">
        <f t="shared" si="14"/>
        <v>[gr]Passwort für den Schutz der Tabellen: „ebc“</v>
      </c>
    </row>
    <row r="236" spans="3:11" ht="15.75" customHeight="1">
      <c r="C236" s="480">
        <v>3</v>
      </c>
      <c r="D236" s="459" t="str">
        <f t="shared" si="5"/>
        <v>high</v>
      </c>
      <c r="E236" s="460" t="s">
        <v>151</v>
      </c>
      <c r="F236" s="460" t="s">
        <v>1000</v>
      </c>
      <c r="G236" s="466" t="s">
        <v>1001</v>
      </c>
      <c r="H236" s="460" t="s">
        <v>1594</v>
      </c>
      <c r="I236" s="460" t="str">
        <f t="shared" si="12"/>
        <v>[fr]hoch</v>
      </c>
      <c r="J236" s="460" t="str">
        <f t="shared" si="13"/>
        <v>[pt]hoch</v>
      </c>
      <c r="K236" s="460" t="str">
        <f t="shared" si="14"/>
        <v>[gr]hoch</v>
      </c>
    </row>
    <row r="237" spans="3:11" ht="15.75" customHeight="1">
      <c r="C237" s="480">
        <v>2</v>
      </c>
      <c r="D237" s="459" t="str">
        <f t="shared" si="5"/>
        <v>medium</v>
      </c>
      <c r="E237" s="460" t="s">
        <v>150</v>
      </c>
      <c r="F237" s="460" t="s">
        <v>1003</v>
      </c>
      <c r="G237" s="466" t="s">
        <v>1004</v>
      </c>
      <c r="H237" s="460" t="s">
        <v>1595</v>
      </c>
      <c r="I237" s="460" t="str">
        <f t="shared" si="12"/>
        <v>[fr]mittel</v>
      </c>
      <c r="J237" s="460" t="str">
        <f t="shared" si="13"/>
        <v>[pt]mittel</v>
      </c>
      <c r="K237" s="460" t="str">
        <f t="shared" si="14"/>
        <v>[gr]mittel</v>
      </c>
    </row>
    <row r="238" spans="3:11" ht="15.75" customHeight="1">
      <c r="C238" s="480">
        <v>1</v>
      </c>
      <c r="D238" s="459" t="str">
        <f t="shared" si="5"/>
        <v>low</v>
      </c>
      <c r="E238" s="460" t="s">
        <v>149</v>
      </c>
      <c r="F238" s="460" t="s">
        <v>1006</v>
      </c>
      <c r="G238" s="466" t="s">
        <v>1007</v>
      </c>
      <c r="H238" s="460" t="s">
        <v>1596</v>
      </c>
      <c r="I238" s="460" t="str">
        <f t="shared" si="12"/>
        <v>[fr]niedrig</v>
      </c>
      <c r="J238" s="460" t="str">
        <f t="shared" si="13"/>
        <v>[pt]niedrig</v>
      </c>
      <c r="K238" s="460" t="str">
        <f t="shared" si="14"/>
        <v>[gr]niedrig</v>
      </c>
    </row>
    <row r="239" spans="3:11" ht="15.75" customHeight="1">
      <c r="C239" s="480">
        <v>0</v>
      </c>
      <c r="D239" s="459" t="str">
        <f t="shared" si="5"/>
        <v>non applicable</v>
      </c>
      <c r="E239" s="460" t="s">
        <v>148</v>
      </c>
      <c r="F239" s="460" t="s">
        <v>1597</v>
      </c>
      <c r="G239" s="466" t="s">
        <v>1598</v>
      </c>
      <c r="H239" s="460" t="s">
        <v>1599</v>
      </c>
      <c r="I239" s="460" t="str">
        <f t="shared" si="12"/>
        <v>[fr]trifft nicht zu</v>
      </c>
      <c r="J239" s="460" t="str">
        <f t="shared" si="13"/>
        <v>[pt]trifft nicht zu</v>
      </c>
      <c r="K239" s="460" t="str">
        <f t="shared" si="14"/>
        <v>[gr]trifft nicht zu</v>
      </c>
    </row>
    <row r="240" spans="3:11" ht="15.75" customHeight="1">
      <c r="D240" s="459" t="str">
        <f t="shared" si="5"/>
        <v xml:space="preserve">Weighting changed. Original </v>
      </c>
      <c r="E240" s="475" t="s">
        <v>3189</v>
      </c>
      <c r="F240" s="475" t="s">
        <v>3190</v>
      </c>
      <c r="G240" s="476" t="s">
        <v>3191</v>
      </c>
      <c r="H240" s="475" t="s">
        <v>3192</v>
      </c>
      <c r="I240" s="460" t="str">
        <f t="shared" si="12"/>
        <v xml:space="preserve">[fr]Gewichtung geändert. Ursprünglich </v>
      </c>
      <c r="J240" s="460" t="str">
        <f t="shared" si="13"/>
        <v xml:space="preserve">[pt]Gewichtung geändert. Ursprünglich </v>
      </c>
      <c r="K240" s="460" t="str">
        <f t="shared" si="14"/>
        <v xml:space="preserve">[gr]Gewichtung geändert. Ursprünglich </v>
      </c>
    </row>
    <row r="241" spans="2:11" ht="15.75" customHeight="1">
      <c r="D241" s="459" t="str">
        <f t="shared" si="5"/>
        <v xml:space="preserve">Values star for </v>
      </c>
      <c r="E241" s="460" t="s">
        <v>1600</v>
      </c>
      <c r="F241" s="460" t="s">
        <v>1601</v>
      </c>
      <c r="G241" s="460" t="s">
        <v>1602</v>
      </c>
      <c r="H241" s="475" t="s">
        <v>1603</v>
      </c>
      <c r="I241" s="460" t="str">
        <f t="shared" si="12"/>
        <v xml:space="preserve">[fr]Werte-Stern für </v>
      </c>
      <c r="J241" s="460" t="str">
        <f t="shared" si="13"/>
        <v xml:space="preserve">[pt]Werte-Stern für </v>
      </c>
      <c r="K241" s="460" t="str">
        <f t="shared" si="14"/>
        <v xml:space="preserve">[gr]Werte-Stern für </v>
      </c>
    </row>
    <row r="242" spans="2:11" ht="15.75" customHeight="1">
      <c r="D242" s="459" t="str">
        <f t="shared" si="5"/>
        <v xml:space="preserve">Group star for </v>
      </c>
      <c r="E242" s="460" t="s">
        <v>1604</v>
      </c>
      <c r="F242" s="460" t="s">
        <v>1605</v>
      </c>
      <c r="G242" s="460" t="s">
        <v>1606</v>
      </c>
      <c r="H242" s="460" t="s">
        <v>1607</v>
      </c>
      <c r="I242" s="460" t="str">
        <f t="shared" si="12"/>
        <v xml:space="preserve">[fr]Gruppen-Stern für </v>
      </c>
      <c r="J242" s="460" t="str">
        <f t="shared" si="13"/>
        <v xml:space="preserve">[pt]Gruppen-Stern für </v>
      </c>
      <c r="K242" s="460" t="str">
        <f t="shared" si="14"/>
        <v xml:space="preserve">[gr]Gruppen-Stern für </v>
      </c>
    </row>
    <row r="243" spans="2:11" ht="15.75" customHeight="1">
      <c r="D243" s="459" t="str">
        <f t="shared" si="5"/>
        <v xml:space="preserve">Theme star for </v>
      </c>
      <c r="E243" s="460" t="s">
        <v>1608</v>
      </c>
      <c r="F243" s="460" t="s">
        <v>1609</v>
      </c>
      <c r="G243" s="460" t="s">
        <v>1610</v>
      </c>
      <c r="H243" s="460" t="s">
        <v>1611</v>
      </c>
      <c r="I243" s="460" t="str">
        <f t="shared" si="12"/>
        <v xml:space="preserve">[fr]Themen-Stern für </v>
      </c>
      <c r="J243" s="460" t="str">
        <f t="shared" si="13"/>
        <v xml:space="preserve">[pt]Themen-Stern für </v>
      </c>
      <c r="K243" s="460" t="str">
        <f t="shared" si="14"/>
        <v xml:space="preserve">[gr]Themen-Stern für </v>
      </c>
    </row>
    <row r="244" spans="2:11" ht="357.6" customHeight="1">
      <c r="B244" s="511" t="str">
        <f>D208</f>
        <v>General</v>
      </c>
      <c r="D244" s="459" t="str">
        <f t="shared" si="5"/>
        <v xml:space="preserve">The allocation of equal and fixed scores for all companies has been the subject of much discussion within the Matrix-development team during the past few years. Outside sources have also raised many questions and provided feedback. Untill now, the way points are distributed for themes has been the same for all companies (with the exception of one-person companies), regardless of company size, industry and other parameters (regional background, B2B versus B2C, etc.). However, these variables may well have an effect on the relevance to and effect on the common good.For example, the supply chain of an electronics trading company (A1-A4) is more significant than for a mining company, which, in turn, leaves a huge, direct environmental impact, amongst other things (E3). The new weighting model addresses these issues and highlights the significant factors. A survey on the changes was conducted, with feedback clearly favouring a new approach. </v>
      </c>
      <c r="E244" s="512" t="s">
        <v>1612</v>
      </c>
      <c r="F244" s="460" t="s">
        <v>1613</v>
      </c>
      <c r="G244" s="466" t="s">
        <v>1614</v>
      </c>
      <c r="H244" s="460" t="s">
        <v>1615</v>
      </c>
      <c r="I244" s="460" t="str">
        <f t="shared" si="12"/>
        <v>[fr]Die für alle Unternehmen gleiche und starre Punkteverteilung in der Matrix hat in den vergangenen Jahren innerhalb des Matrix-Entwicklungs-Team (MET) für viele Diskussionen gesorgt. Auch von außerhalb sind viele Fragen und kritische Rückmeldungen an uns herangetragen worden. Bislang war die Punkteverteilung auf die Themen mit Ausnahme von Ein-Personen-Unternehmen für alle Unternehmen gleich - unabhängig von der Unternehmensgröße, Branche und anderen Rahmenbedingungen (regionaler Hintergrund, B2B versus B2C, etc.). Relevanz und WirkungImpact auf das Gemeinwohl sind jedoch von diesen Determinanten nicht unabhängig. Beispielsweise ist die Lieferkette eines Elektronik-Handelsunternehmen (A1-A4) weitaus bedeutender als für ein Bergbauunternehmen, welches wiederum u.a. sehr große Effekte bei seinen direkten ökologischen Auswirkungen hat (E3). Das neue Gewichtungsmodell soll diesen Gedanken Rechnung tragen und die wesentlichen Faktoren stärker akzentuieren. Im Prozess wurden Meinungen der Bewegung im Rahmen einer Umfrage eingeholt und eine klare Präferenz für eine neue Herangehensweise rückgemeldet.</v>
      </c>
      <c r="J244" s="460" t="str">
        <f t="shared" si="13"/>
        <v>[pt]Die für alle Unternehmen gleiche und starre Punkteverteilung in der Matrix hat in den vergangenen Jahren innerhalb des Matrix-Entwicklungs-Team (MET) für viele Diskussionen gesorgt. Auch von außerhalb sind viele Fragen und kritische Rückmeldungen an uns herangetragen worden. Bislang war die Punkteverteilung auf die Themen mit Ausnahme von Ein-Personen-Unternehmen für alle Unternehmen gleich - unabhängig von der Unternehmensgröße, Branche und anderen Rahmenbedingungen (regionaler Hintergrund, B2B versus B2C, etc.). Relevanz und WirkungImpact auf das Gemeinwohl sind jedoch von diesen Determinanten nicht unabhängig. Beispielsweise ist die Lieferkette eines Elektronik-Handelsunternehmen (A1-A4) weitaus bedeutender als für ein Bergbauunternehmen, welches wiederum u.a. sehr große Effekte bei seinen direkten ökologischen Auswirkungen hat (E3). Das neue Gewichtungsmodell soll diesen Gedanken Rechnung tragen und die wesentlichen Faktoren stärker akzentuieren. Im Prozess wurden Meinungen der Bewegung im Rahmen einer Umfrage eingeholt und eine klare Präferenz für eine neue Herangehensweise rückgemeldet.</v>
      </c>
      <c r="K244" s="460" t="str">
        <f t="shared" si="14"/>
        <v>[gr]Die für alle Unternehmen gleiche und starre Punkteverteilung in der Matrix hat in den vergangenen Jahren innerhalb des Matrix-Entwicklungs-Team (MET) für viele Diskussionen gesorgt. Auch von außerhalb sind viele Fragen und kritische Rückmeldungen an uns herangetragen worden. Bislang war die Punkteverteilung auf die Themen mit Ausnahme von Ein-Personen-Unternehmen für alle Unternehmen gleich - unabhängig von der Unternehmensgröße, Branche und anderen Rahmenbedingungen (regionaler Hintergrund, B2B versus B2C, etc.). Relevanz und WirkungImpact auf das Gemeinwohl sind jedoch von diesen Determinanten nicht unabhängig. Beispielsweise ist die Lieferkette eines Elektronik-Handelsunternehmen (A1-A4) weitaus bedeutender als für ein Bergbauunternehmen, welches wiederum u.a. sehr große Effekte bei seinen direkten ökologischen Auswirkungen hat (E3). Das neue Gewichtungsmodell soll diesen Gedanken Rechnung tragen und die wesentlichen Faktoren stärker akzentuieren. Im Prozess wurden Meinungen der Bewegung im Rahmen einer Umfrage eingeholt und eine klare Präferenz für eine neue Herangehensweise rückgemeldet.</v>
      </c>
    </row>
    <row r="245" spans="2:11" ht="227.85" customHeight="1">
      <c r="B245" s="511" t="s">
        <v>1486</v>
      </c>
      <c r="D245" s="459" t="str">
        <f t="shared" si="5"/>
        <v>For the weighting of three stakeholder groups, A) suppliers, B) investors and C) employees, the matrix takes into account the following financial flows to these stakeholders: A) procurement expenditure, B) profit and borrowing costs C) wages and salaries. We are aware of the limited significance attached to money in the current matrix and have plans for how this can be improved in the future. At the same time, this information is readily available in companies' financial balance sheets, and easily meets the needs of many companies. Since taxes and borrowing costs are included in procurement expenditure, these account for only 50% of the weighting.</v>
      </c>
      <c r="E245" s="512" t="s">
        <v>1616</v>
      </c>
      <c r="F245" s="460" t="s">
        <v>1617</v>
      </c>
      <c r="G245" s="466" t="s">
        <v>1618</v>
      </c>
      <c r="H245" s="460" t="s">
        <v>1619</v>
      </c>
      <c r="I245" s="460" t="str">
        <f t="shared" si="12"/>
        <v xml:space="preserve">[fr]Bei der Gewichtung der 3 Berührungsgruppen A) LieferantInnen, B) InvestorenInnen und C) MitarbeiterInnen werden die Finanzströme zu diesen Berührungsgruppen zur Gewichtung herangezogen: A) Beschaffungsausgaben, B) Gewinn und Finanzierungskosten C) Löhne und Gehälter. Wir sind uns der limitierten Aussagekraft monetärer Größen bewusst und haben auch Ideen, wie dies in Zukunft verbessert werden kann. Gleichzeitig sind diese Zahlen in der  Finanzbilanzen der Unternehmen vorhanden, somit leicht verfügbar und kommen dem Bedürfnis vieler Unternehmen nach Einfachheit nach. Da in den Beschaffungskosten Steuern und Finanzierungskosten entahlten fliessen diese nur zu 50% in die Gewichtung ein. </v>
      </c>
      <c r="J245" s="460" t="str">
        <f t="shared" si="13"/>
        <v xml:space="preserve">[pt]Bei der Gewichtung der 3 Berührungsgruppen A) LieferantInnen, B) InvestorenInnen und C) MitarbeiterInnen werden die Finanzströme zu diesen Berührungsgruppen zur Gewichtung herangezogen: A) Beschaffungsausgaben, B) Gewinn und Finanzierungskosten C) Löhne und Gehälter. Wir sind uns der limitierten Aussagekraft monetärer Größen bewusst und haben auch Ideen, wie dies in Zukunft verbessert werden kann. Gleichzeitig sind diese Zahlen in der  Finanzbilanzen der Unternehmen vorhanden, somit leicht verfügbar und kommen dem Bedürfnis vieler Unternehmen nach Einfachheit nach. Da in den Beschaffungskosten Steuern und Finanzierungskosten entahlten fliessen diese nur zu 50% in die Gewichtung ein. </v>
      </c>
      <c r="K245" s="460" t="str">
        <f t="shared" si="14"/>
        <v xml:space="preserve">[gr]Bei der Gewichtung der 3 Berührungsgruppen A) LieferantInnen, B) InvestorenInnen und C) MitarbeiterInnen werden die Finanzströme zu diesen Berührungsgruppen zur Gewichtung herangezogen: A) Beschaffungsausgaben, B) Gewinn und Finanzierungskosten C) Löhne und Gehälter. Wir sind uns der limitierten Aussagekraft monetärer Größen bewusst und haben auch Ideen, wie dies in Zukunft verbessert werden kann. Gleichzeitig sind diese Zahlen in der  Finanzbilanzen der Unternehmen vorhanden, somit leicht verfügbar und kommen dem Bedürfnis vieler Unternehmen nach Einfachheit nach. Da in den Beschaffungskosten Steuern und Finanzierungskosten entahlten fliessen diese nur zu 50% in die Gewichtung ein. </v>
      </c>
    </row>
    <row r="246" spans="2:11" ht="161.25" customHeight="1">
      <c r="B246" s="513" t="s">
        <v>1478</v>
      </c>
      <c r="D246" s="459" t="str">
        <f t="shared" si="5"/>
        <v>There are also criteria for the weighting of the themes, for example a company's size or industry or the relevant local employment law. The United Nations' International Standard Industrial Classification of All Economic Activities (ISIC Rev.4) is used for all industry sector definitions. For size classification, definitions as set out by the EU are used. The table below summarises the current weighting factors (as at May 2017):</v>
      </c>
      <c r="E246" s="514" t="s">
        <v>1620</v>
      </c>
      <c r="F246" s="460" t="s">
        <v>1621</v>
      </c>
      <c r="G246" s="466" t="s">
        <v>1622</v>
      </c>
      <c r="H246" s="460" t="s">
        <v>1623</v>
      </c>
      <c r="I246" s="460" t="str">
        <f t="shared" si="12"/>
        <v>[fr]Auf Ebene der Themen gibt es ebenfalls Kriterien die zur Gewichtung herangezogen werden, beispielsweise Größe oder Branche eines Unternehmen oder Arbeitsrechtslage von Ländern. Für die Branchendefinition wenden wir den International Standard Industrial Classification of All Economic Activities (ISIC Rev.4) der Vereinten Nationen an. Für die Größeneinstufung wird die EU Definition herangezogen. Die nachstehende Tabelle fasst gegenwärtige Gewichtungsfaktoren zusammen (Stand Mai 2017).</v>
      </c>
      <c r="J246" s="460" t="str">
        <f t="shared" si="13"/>
        <v>[pt]Auf Ebene der Themen gibt es ebenfalls Kriterien die zur Gewichtung herangezogen werden, beispielsweise Größe oder Branche eines Unternehmen oder Arbeitsrechtslage von Ländern. Für die Branchendefinition wenden wir den International Standard Industrial Classification of All Economic Activities (ISIC Rev.4) der Vereinten Nationen an. Für die Größeneinstufung wird die EU Definition herangezogen. Die nachstehende Tabelle fasst gegenwärtige Gewichtungsfaktoren zusammen (Stand Mai 2017).</v>
      </c>
      <c r="K246" s="460" t="str">
        <f t="shared" si="14"/>
        <v>[gr]Auf Ebene der Themen gibt es ebenfalls Kriterien die zur Gewichtung herangezogen werden, beispielsweise Größe oder Branche eines Unternehmen oder Arbeitsrechtslage von Ländern. Für die Branchendefinition wenden wir den International Standard Industrial Classification of All Economic Activities (ISIC Rev.4) der Vereinten Nationen an. Für die Größeneinstufung wird die EU Definition herangezogen. Die nachstehende Tabelle fasst gegenwärtige Gewichtungsfaktoren zusammen (Stand Mai 2017).</v>
      </c>
    </row>
    <row r="247" spans="2:11" ht="28.5" customHeight="1">
      <c r="B247" s="515" t="s">
        <v>14</v>
      </c>
      <c r="D247" s="459" t="str">
        <f t="shared" si="5"/>
        <v>The weighting of this theme is dependent on the social risks of the supplier's sector.</v>
      </c>
      <c r="E247" s="516" t="s">
        <v>1624</v>
      </c>
      <c r="F247" s="460" t="s">
        <v>1625</v>
      </c>
      <c r="G247" s="466" t="s">
        <v>1626</v>
      </c>
      <c r="H247" s="460" t="s">
        <v>1627</v>
      </c>
      <c r="I247" s="460" t="str">
        <f t="shared" si="12"/>
        <v>[fr]Die Gewichtung dieses Thema’s ist abhängig von den sozialen Risiken der Zulieferbranchen</v>
      </c>
      <c r="J247" s="460" t="str">
        <f t="shared" si="13"/>
        <v>[pt]Die Gewichtung dieses Thema’s ist abhängig von den sozialen Risiken der Zulieferbranchen</v>
      </c>
      <c r="K247" s="460" t="str">
        <f t="shared" si="14"/>
        <v>[gr]Die Gewichtung dieses Thema’s ist abhängig von den sozialen Risiken der Zulieferbranchen</v>
      </c>
    </row>
    <row r="248" spans="2:11" ht="15.75" customHeight="1">
      <c r="B248" s="517" t="s">
        <v>17</v>
      </c>
      <c r="D248" s="459" t="str">
        <f t="shared" si="5"/>
        <v>-</v>
      </c>
      <c r="E248" s="518" t="s">
        <v>154</v>
      </c>
      <c r="F248" s="519" t="s">
        <v>154</v>
      </c>
      <c r="G248" s="519" t="s">
        <v>154</v>
      </c>
      <c r="H248" s="460" t="s">
        <v>154</v>
      </c>
      <c r="I248" s="460" t="str">
        <f t="shared" si="12"/>
        <v>[fr]-</v>
      </c>
      <c r="J248" s="460" t="str">
        <f t="shared" si="13"/>
        <v>[pt]-</v>
      </c>
      <c r="K248" s="460" t="str">
        <f t="shared" si="14"/>
        <v>[gr]-</v>
      </c>
    </row>
    <row r="249" spans="2:11" ht="54.75" customHeight="1">
      <c r="B249" s="520" t="s">
        <v>21</v>
      </c>
      <c r="D249" s="459" t="str">
        <f t="shared" si="5"/>
        <v>The weighting of this theme is dependent on the environmental effect of the supplier's sector (see sheet “Industry").</v>
      </c>
      <c r="E249" s="518" t="s">
        <v>1628</v>
      </c>
      <c r="F249" s="460" t="s">
        <v>1629</v>
      </c>
      <c r="G249" s="466" t="s">
        <v>1630</v>
      </c>
      <c r="H249" s="460" t="s">
        <v>1631</v>
      </c>
      <c r="I249" s="460" t="str">
        <f t="shared" si="12"/>
        <v>[fr]Die Gewichtung dieses Thema’s ist abhängig vom ökologischen Effekt der Branche des Lieferanten (siehe Tabellenblatt “Industry”)</v>
      </c>
      <c r="J249" s="460" t="str">
        <f t="shared" si="13"/>
        <v>[pt]Die Gewichtung dieses Thema’s ist abhängig vom ökologischen Effekt der Branche des Lieferanten (siehe Tabellenblatt “Industry”)</v>
      </c>
      <c r="K249" s="460" t="str">
        <f t="shared" si="14"/>
        <v>[gr]Die Gewichtung dieses Thema’s ist abhängig vom ökologischen Effekt der Branche des Lieferanten (siehe Tabellenblatt “Industry”)</v>
      </c>
    </row>
    <row r="250" spans="2:11" ht="68.25" customHeight="1">
      <c r="B250" s="520" t="s">
        <v>24</v>
      </c>
      <c r="D250" s="459" t="str">
        <f t="shared" si="5"/>
        <v>The weighting of this theme is dependent on co-determination rights in the countries of the most important supply industries (based on the ILUC index of the International Labour Union).</v>
      </c>
      <c r="E250" s="521" t="s">
        <v>1632</v>
      </c>
      <c r="F250" s="460" t="s">
        <v>1633</v>
      </c>
      <c r="G250" s="466" t="s">
        <v>1634</v>
      </c>
      <c r="H250" s="460" t="s">
        <v>1635</v>
      </c>
      <c r="I250" s="460" t="str">
        <f t="shared" si="12"/>
        <v>[fr]Die Gewichtung dieses Thema’s ist abhängig von den Mitbestimmungsrechte in den Ländern der wichtigsten Zulieferbranchen (basierend auf dem ITUC-Index der International Trade Union Confederation)</v>
      </c>
      <c r="J250" s="460" t="str">
        <f t="shared" si="13"/>
        <v>[pt]Die Gewichtung dieses Thema’s ist abhängig von den Mitbestimmungsrechte in den Ländern der wichtigsten Zulieferbranchen (basierend auf dem ITUC-Index der International Trade Union Confederation)</v>
      </c>
      <c r="K250" s="460" t="str">
        <f t="shared" si="14"/>
        <v>[gr]Die Gewichtung dieses Thema’s ist abhängig von den Mitbestimmungsrechte in den Ländern der wichtigsten Zulieferbranchen (basierend auf dem ITUC-Index der International Trade Union Confederation)</v>
      </c>
    </row>
    <row r="251" spans="2:11" ht="28.5" customHeight="1">
      <c r="B251" s="520" t="s">
        <v>28</v>
      </c>
      <c r="D251" s="459" t="str">
        <f t="shared" si="5"/>
        <v>The weighting of this theme depends on the ratio turnover to the balance sheet total.</v>
      </c>
      <c r="E251" s="518" t="s">
        <v>1636</v>
      </c>
      <c r="F251" s="460" t="s">
        <v>1637</v>
      </c>
      <c r="G251" s="466" t="s">
        <v>1638</v>
      </c>
      <c r="H251" s="460" t="s">
        <v>1639</v>
      </c>
      <c r="I251" s="460" t="str">
        <f t="shared" si="12"/>
        <v>[fr]Die Gewichtung dieses Thema’s ist abhängig von der Relation Umsatz zu Bilanzsumme</v>
      </c>
      <c r="J251" s="460" t="str">
        <f t="shared" si="13"/>
        <v>[pt]Die Gewichtung dieses Thema’s ist abhängig von der Relation Umsatz zu Bilanzsumme</v>
      </c>
      <c r="K251" s="460" t="str">
        <f t="shared" si="14"/>
        <v>[gr]Die Gewichtung dieses Thema’s ist abhängig von der Relation Umsatz zu Bilanzsumme</v>
      </c>
    </row>
    <row r="252" spans="2:11" ht="42.75" customHeight="1">
      <c r="B252" s="520" t="s">
        <v>32</v>
      </c>
      <c r="D252" s="459" t="str">
        <f t="shared" si="5"/>
        <v>The weighting of this theme depends on the ratio profit to turnover</v>
      </c>
      <c r="E252" s="518" t="s">
        <v>1640</v>
      </c>
      <c r="F252" s="460" t="s">
        <v>1641</v>
      </c>
      <c r="G252" s="466" t="s">
        <v>1642</v>
      </c>
      <c r="H252" s="460" t="s">
        <v>1643</v>
      </c>
      <c r="I252" s="460" t="str">
        <f t="shared" si="12"/>
        <v xml:space="preserve">[fr]Die Gewichtung dieses Thema’s ist abhängig von der Relation Gewinn zu Umsatz </v>
      </c>
      <c r="J252" s="460" t="str">
        <f t="shared" si="13"/>
        <v xml:space="preserve">[pt]Die Gewichtung dieses Thema’s ist abhängig von der Relation Gewinn zu Umsatz </v>
      </c>
      <c r="K252" s="460" t="str">
        <f t="shared" si="14"/>
        <v xml:space="preserve">[gr]Die Gewichtung dieses Thema’s ist abhängig von der Relation Gewinn zu Umsatz </v>
      </c>
    </row>
    <row r="253" spans="2:11" ht="51" customHeight="1">
      <c r="B253" s="520" t="s">
        <v>35</v>
      </c>
      <c r="D253" s="459" t="str">
        <f t="shared" si="5"/>
        <v>The weighting of this theme is dependent on additions to fixed-assets and financial assets in relation to the balance sheet total.</v>
      </c>
      <c r="E253" s="518" t="s">
        <v>1644</v>
      </c>
      <c r="F253" s="460" t="s">
        <v>1645</v>
      </c>
      <c r="G253" s="466" t="s">
        <v>1646</v>
      </c>
      <c r="H253" s="460" t="s">
        <v>1647</v>
      </c>
      <c r="I253" s="460" t="str">
        <f t="shared" si="12"/>
        <v>[fr]Die Gewichtung dieses Thema’s ist abhängig  Zugängen zum Anlagevermögen und Finanzvermögen in Relation zu der Bilanzsumme</v>
      </c>
      <c r="J253" s="460" t="str">
        <f t="shared" si="13"/>
        <v>[pt]Die Gewichtung dieses Thema’s ist abhängig  Zugängen zum Anlagevermögen und Finanzvermögen in Relation zu der Bilanzsumme</v>
      </c>
      <c r="K253" s="460" t="str">
        <f t="shared" si="14"/>
        <v>[gr]Die Gewichtung dieses Thema’s ist abhängig  Zugängen zum Anlagevermögen und Finanzvermögen in Relation zu der Bilanzsumme</v>
      </c>
    </row>
    <row r="254" spans="2:11" ht="28.5" customHeight="1">
      <c r="B254" s="520" t="s">
        <v>39</v>
      </c>
      <c r="D254" s="459" t="str">
        <f t="shared" si="5"/>
        <v>The weighting of this theme is dependent on the size of the company.</v>
      </c>
      <c r="E254" s="518" t="s">
        <v>1648</v>
      </c>
      <c r="F254" s="460" t="s">
        <v>1649</v>
      </c>
      <c r="G254" s="466" t="s">
        <v>1650</v>
      </c>
      <c r="H254" s="460" t="s">
        <v>1651</v>
      </c>
      <c r="I254" s="460" t="str">
        <f t="shared" si="12"/>
        <v>[fr]Die Gewichtung dieses Thema’s ist abhängig von der Größe des Unternehmens</v>
      </c>
      <c r="J254" s="460" t="str">
        <f t="shared" si="13"/>
        <v>[pt]Die Gewichtung dieses Thema’s ist abhängig von der Größe des Unternehmens</v>
      </c>
      <c r="K254" s="460" t="str">
        <f t="shared" si="14"/>
        <v>[gr]Die Gewichtung dieses Thema’s ist abhängig von der Größe des Unternehmens</v>
      </c>
    </row>
    <row r="255" spans="2:11" ht="15.75" customHeight="1">
      <c r="B255" s="520" t="s">
        <v>43</v>
      </c>
      <c r="D255" s="459" t="str">
        <f t="shared" si="5"/>
        <v>-</v>
      </c>
      <c r="E255" s="522" t="s">
        <v>154</v>
      </c>
      <c r="F255" s="523" t="s">
        <v>154</v>
      </c>
      <c r="G255" s="523" t="s">
        <v>154</v>
      </c>
      <c r="H255" s="460" t="s">
        <v>154</v>
      </c>
      <c r="I255" s="460" t="str">
        <f t="shared" si="12"/>
        <v>[fr]-</v>
      </c>
      <c r="J255" s="460" t="str">
        <f t="shared" si="13"/>
        <v>[pt]-</v>
      </c>
      <c r="K255" s="460" t="str">
        <f t="shared" si="14"/>
        <v>[gr]-</v>
      </c>
    </row>
    <row r="256" spans="2:11" ht="15.75" customHeight="1">
      <c r="B256" s="520" t="s">
        <v>48</v>
      </c>
      <c r="D256" s="459" t="str">
        <f t="shared" si="5"/>
        <v>-</v>
      </c>
      <c r="E256" s="518" t="s">
        <v>154</v>
      </c>
      <c r="F256" s="519" t="s">
        <v>154</v>
      </c>
      <c r="G256" s="519" t="s">
        <v>154</v>
      </c>
      <c r="H256" s="460" t="s">
        <v>154</v>
      </c>
      <c r="I256" s="460" t="str">
        <f t="shared" si="12"/>
        <v>[fr]-</v>
      </c>
      <c r="J256" s="460" t="str">
        <f t="shared" si="13"/>
        <v>[pt]-</v>
      </c>
      <c r="K256" s="460" t="str">
        <f t="shared" si="14"/>
        <v>[gr]-</v>
      </c>
    </row>
    <row r="257" spans="2:11" ht="54.75" customHeight="1">
      <c r="B257" s="520" t="s">
        <v>53</v>
      </c>
      <c r="D257" s="459" t="str">
        <f t="shared" si="5"/>
        <v xml:space="preserve">The weighting of this theme is dependent on the existence of a canteen for most of the employees as well as an (estimated) average commute to work. </v>
      </c>
      <c r="E257" s="518" t="s">
        <v>1652</v>
      </c>
      <c r="F257" s="460" t="s">
        <v>1653</v>
      </c>
      <c r="G257" s="466" t="s">
        <v>1654</v>
      </c>
      <c r="H257" s="460" t="s">
        <v>1655</v>
      </c>
      <c r="I257" s="460" t="str">
        <f t="shared" si="12"/>
        <v>[fr]Die Gewichtung dieses Thema’s ist abhängig von der Existenz einer Kantine für die Mehrheit der Mitarbeiter*innen sowie dem (geschätzten) durchschnittlichen Anfahrtsweg zur Arbeit.</v>
      </c>
      <c r="J257" s="460" t="str">
        <f t="shared" si="13"/>
        <v>[pt]Die Gewichtung dieses Thema’s ist abhängig von der Existenz einer Kantine für die Mehrheit der Mitarbeiter*innen sowie dem (geschätzten) durchschnittlichen Anfahrtsweg zur Arbeit.</v>
      </c>
      <c r="K257" s="460" t="str">
        <f t="shared" si="14"/>
        <v>[gr]Die Gewichtung dieses Thema’s ist abhängig von der Existenz einer Kantine für die Mehrheit der Mitarbeiter*innen sowie dem (geschätzten) durchschnittlichen Anfahrtsweg zur Arbeit.</v>
      </c>
    </row>
    <row r="258" spans="2:11" ht="81.599999999999994" customHeight="1">
      <c r="B258" s="520" t="s">
        <v>58</v>
      </c>
      <c r="D258" s="459" t="str">
        <f t="shared" si="5"/>
        <v>The weighting of this theme is dependent on company size and co-determination rights in the countries of the most important supply industries (based on the ILUC index of the International Labour Union).</v>
      </c>
      <c r="E258" s="521" t="s">
        <v>1656</v>
      </c>
      <c r="F258" s="460" t="s">
        <v>1657</v>
      </c>
      <c r="G258" s="466" t="s">
        <v>1658</v>
      </c>
      <c r="H258" s="460" t="s">
        <v>1659</v>
      </c>
      <c r="I258" s="460" t="str">
        <f t="shared" si="12"/>
        <v>[fr]Die Gewichtung dieses Thema’s ist abhängig von der Größe des Unternehmens sowie von den Mitbestimmungsrechte in den Ländern der wichtigsten Standorte (basierend auf dem ITUC-Index der International Labour Union)</v>
      </c>
      <c r="J258" s="460" t="str">
        <f t="shared" si="13"/>
        <v>[pt]Die Gewichtung dieses Thema’s ist abhängig von der Größe des Unternehmens sowie von den Mitbestimmungsrechte in den Ländern der wichtigsten Standorte (basierend auf dem ITUC-Index der International Labour Union)</v>
      </c>
      <c r="K258" s="460" t="str">
        <f t="shared" si="14"/>
        <v>[gr]Die Gewichtung dieses Thema’s ist abhängig von der Größe des Unternehmens sowie von den Mitbestimmungsrechte in den Ländern der wichtigsten Standorte (basierend auf dem ITUC-Index der International Labour Union)</v>
      </c>
    </row>
    <row r="259" spans="2:11" ht="15.75" customHeight="1">
      <c r="B259" s="520" t="s">
        <v>64</v>
      </c>
      <c r="D259" s="459" t="str">
        <f t="shared" si="5"/>
        <v>-</v>
      </c>
      <c r="E259" s="518" t="s">
        <v>154</v>
      </c>
      <c r="F259" s="518" t="s">
        <v>154</v>
      </c>
      <c r="G259" s="518" t="s">
        <v>154</v>
      </c>
      <c r="H259" s="460" t="s">
        <v>154</v>
      </c>
      <c r="I259" s="460" t="str">
        <f t="shared" si="12"/>
        <v>[fr]-</v>
      </c>
      <c r="J259" s="460" t="str">
        <f t="shared" si="13"/>
        <v>[pt]-</v>
      </c>
      <c r="K259" s="460" t="str">
        <f t="shared" si="14"/>
        <v>[gr]-</v>
      </c>
    </row>
    <row r="260" spans="2:11" ht="15.75" customHeight="1">
      <c r="B260" s="520" t="s">
        <v>68</v>
      </c>
      <c r="D260" s="459" t="str">
        <f t="shared" si="5"/>
        <v>-</v>
      </c>
      <c r="E260" s="518" t="s">
        <v>154</v>
      </c>
      <c r="F260" s="519" t="s">
        <v>154</v>
      </c>
      <c r="G260" s="519" t="s">
        <v>154</v>
      </c>
      <c r="H260" s="460" t="s">
        <v>154</v>
      </c>
      <c r="I260" s="460" t="str">
        <f t="shared" si="12"/>
        <v>[fr]-</v>
      </c>
      <c r="J260" s="460" t="str">
        <f t="shared" si="13"/>
        <v>[pt]-</v>
      </c>
      <c r="K260" s="460" t="str">
        <f t="shared" si="14"/>
        <v>[gr]-</v>
      </c>
    </row>
    <row r="261" spans="2:11" ht="28.5" customHeight="1">
      <c r="B261" s="520" t="s">
        <v>72</v>
      </c>
      <c r="D261" s="459" t="str">
        <f t="shared" si="5"/>
        <v>The weighting of this theme depends on the industry sector.</v>
      </c>
      <c r="E261" s="518" t="s">
        <v>1660</v>
      </c>
      <c r="F261" s="460" t="s">
        <v>1661</v>
      </c>
      <c r="G261" s="466" t="s">
        <v>1662</v>
      </c>
      <c r="H261" s="460" t="s">
        <v>1663</v>
      </c>
      <c r="I261" s="460" t="str">
        <f t="shared" si="12"/>
        <v xml:space="preserve">[fr]Die Gewichtung dieses Thema’s ist abhängig von der Branche </v>
      </c>
      <c r="J261" s="460" t="str">
        <f t="shared" si="13"/>
        <v xml:space="preserve">[pt]Die Gewichtung dieses Thema’s ist abhängig von der Branche </v>
      </c>
      <c r="K261" s="460" t="str">
        <f t="shared" si="14"/>
        <v xml:space="preserve">[gr]Die Gewichtung dieses Thema’s ist abhängig von der Branche </v>
      </c>
    </row>
    <row r="262" spans="2:11" ht="41.85" customHeight="1">
      <c r="B262" s="520" t="s">
        <v>76</v>
      </c>
      <c r="D262" s="459" t="str">
        <f t="shared" si="5"/>
        <v>The weighting of this theme depends on whether customers are primarily individuals or companies.</v>
      </c>
      <c r="E262" s="518" t="s">
        <v>1664</v>
      </c>
      <c r="F262" s="460" t="s">
        <v>1665</v>
      </c>
      <c r="G262" s="466" t="s">
        <v>1666</v>
      </c>
      <c r="H262" s="460" t="s">
        <v>1667</v>
      </c>
      <c r="I262" s="460" t="str">
        <f t="shared" si="12"/>
        <v>[fr]Die Gewichtung dieses Thema’s ist abhängig davon, ob Kund*innen in erster Linie Private oder Unternehmen sind</v>
      </c>
      <c r="J262" s="460" t="str">
        <f t="shared" si="13"/>
        <v>[pt]Die Gewichtung dieses Thema’s ist abhängig davon, ob Kund*innen in erster Linie Private oder Unternehmen sind</v>
      </c>
      <c r="K262" s="460" t="str">
        <f t="shared" si="14"/>
        <v>[gr]Die Gewichtung dieses Thema’s ist abhängig davon, ob Kund*innen in erster Linie Private oder Unternehmen sind</v>
      </c>
    </row>
    <row r="263" spans="2:11" ht="15.75" customHeight="1">
      <c r="B263" s="520" t="s">
        <v>80</v>
      </c>
      <c r="D263" s="459" t="str">
        <f t="shared" si="5"/>
        <v>-</v>
      </c>
      <c r="E263" s="518" t="s">
        <v>154</v>
      </c>
      <c r="F263" s="519" t="s">
        <v>154</v>
      </c>
      <c r="G263" s="519" t="s">
        <v>154</v>
      </c>
      <c r="H263" s="460" t="s">
        <v>154</v>
      </c>
      <c r="I263" s="460" t="str">
        <f t="shared" si="12"/>
        <v>[fr]-</v>
      </c>
      <c r="J263" s="460" t="str">
        <f t="shared" si="13"/>
        <v>[pt]-</v>
      </c>
      <c r="K263" s="460" t="str">
        <f t="shared" si="14"/>
        <v>[gr]-</v>
      </c>
    </row>
    <row r="264" spans="2:11" ht="41.85" customHeight="1">
      <c r="B264" s="520" t="s">
        <v>84</v>
      </c>
      <c r="D264" s="459" t="str">
        <f t="shared" si="5"/>
        <v>The weighting of this theme is dependent on the return on sales (profit/turnover).</v>
      </c>
      <c r="E264" s="518" t="s">
        <v>1668</v>
      </c>
      <c r="F264" s="460" t="s">
        <v>1669</v>
      </c>
      <c r="G264" s="466" t="s">
        <v>1670</v>
      </c>
      <c r="H264" s="460" t="s">
        <v>1671</v>
      </c>
      <c r="I264" s="460" t="str">
        <f t="shared" si="12"/>
        <v>[fr]Die Gewichtung dieses Thema’s ist abhängig von der Umsatzrentabilität (Gewinn/Umsatz)</v>
      </c>
      <c r="J264" s="460" t="str">
        <f t="shared" si="13"/>
        <v>[pt]Die Gewichtung dieses Thema’s ist abhängig von der Umsatzrentabilität (Gewinn/Umsatz)</v>
      </c>
      <c r="K264" s="460" t="str">
        <f t="shared" si="14"/>
        <v>[gr]Die Gewichtung dieses Thema’s ist abhängig von der Umsatzrentabilität (Gewinn/Umsatz)</v>
      </c>
    </row>
    <row r="265" spans="2:11" ht="28.5" customHeight="1">
      <c r="B265" s="520" t="s">
        <v>89</v>
      </c>
      <c r="D265" s="459" t="str">
        <f t="shared" si="5"/>
        <v>The weighting of this theme depends on the industry sector.</v>
      </c>
      <c r="E265" s="518" t="s">
        <v>1672</v>
      </c>
      <c r="F265" s="460" t="s">
        <v>1661</v>
      </c>
      <c r="G265" s="466" t="s">
        <v>1662</v>
      </c>
      <c r="H265" s="460" t="s">
        <v>1663</v>
      </c>
      <c r="I265" s="460" t="str">
        <f t="shared" si="12"/>
        <v>[fr]Die Gewichtung dieses Thenma’s ist abhängig von der Branche</v>
      </c>
      <c r="J265" s="460" t="str">
        <f t="shared" si="13"/>
        <v>[pt]Die Gewichtung dieses Thenma’s ist abhängig von der Branche</v>
      </c>
      <c r="K265" s="460" t="str">
        <f t="shared" si="14"/>
        <v>[gr]Die Gewichtung dieses Thenma’s ist abhängig von der Branche</v>
      </c>
    </row>
    <row r="266" spans="2:11" ht="41.85" customHeight="1">
      <c r="B266" s="524" t="s">
        <v>93</v>
      </c>
      <c r="D266" s="459" t="str">
        <f t="shared" si="5"/>
        <v>The weighting of this theme depends on the company size and the industry sector.</v>
      </c>
      <c r="E266" s="525" t="s">
        <v>1673</v>
      </c>
      <c r="F266" s="460" t="s">
        <v>1674</v>
      </c>
      <c r="G266" s="466" t="s">
        <v>1675</v>
      </c>
      <c r="H266" s="460" t="s">
        <v>1676</v>
      </c>
      <c r="I266" s="460" t="str">
        <f t="shared" si="12"/>
        <v>[fr]Die Gewichtung dieses Thema’s ist abhängig von der Größe sowie der Branche des Unternehmens.</v>
      </c>
      <c r="J266" s="460" t="str">
        <f t="shared" si="13"/>
        <v>[pt]Die Gewichtung dieses Thema’s ist abhängig von der Größe sowie der Branche des Unternehmens.</v>
      </c>
      <c r="K266" s="460" t="str">
        <f t="shared" si="14"/>
        <v>[gr]Die Gewichtung dieses Thema’s ist abhängig von der Größe sowie der Branche des Unternehmens.</v>
      </c>
    </row>
    <row r="267" spans="2:11" ht="15.75" customHeight="1">
      <c r="D267" s="459">
        <f t="shared" si="5"/>
        <v>0</v>
      </c>
      <c r="E267" s="460"/>
      <c r="G267" s="460"/>
      <c r="H267" s="460"/>
      <c r="I267" s="460" t="str">
        <f t="shared" si="12"/>
        <v>[fr]</v>
      </c>
      <c r="J267" s="460" t="str">
        <f t="shared" si="13"/>
        <v>[pt]</v>
      </c>
      <c r="K267" s="460" t="str">
        <f t="shared" si="14"/>
        <v>[gr]</v>
      </c>
    </row>
    <row r="268" spans="2:11" ht="28.5" customHeight="1">
      <c r="D268" s="459" t="str">
        <f t="shared" si="5"/>
        <v>A - agriculture, forestry management, fishing industry</v>
      </c>
      <c r="E268" s="460" t="s">
        <v>1677</v>
      </c>
      <c r="F268" s="460" t="s">
        <v>1678</v>
      </c>
      <c r="G268" s="466" t="s">
        <v>1679</v>
      </c>
      <c r="H268" s="460" t="s">
        <v>1680</v>
      </c>
      <c r="I268" s="460" t="str">
        <f t="shared" si="12"/>
        <v>[fr]A - Landwirtschaft, Forstwirtschaft und Fischerei</v>
      </c>
      <c r="J268" s="460" t="str">
        <f t="shared" si="13"/>
        <v>[pt]A - Landwirtschaft, Forstwirtschaft und Fischerei</v>
      </c>
      <c r="K268" s="460" t="str">
        <f t="shared" si="14"/>
        <v>[gr]A - Landwirtschaft, Forstwirtschaft und Fischerei</v>
      </c>
    </row>
    <row r="269" spans="2:11" ht="28.5" customHeight="1">
      <c r="D269" s="459" t="str">
        <f t="shared" si="5"/>
        <v>B - Mining and quarrying</v>
      </c>
      <c r="E269" s="460" t="s">
        <v>1681</v>
      </c>
      <c r="F269" s="460" t="s">
        <v>1682</v>
      </c>
      <c r="G269" s="466" t="s">
        <v>1683</v>
      </c>
      <c r="H269" s="460" t="s">
        <v>1684</v>
      </c>
      <c r="I269" s="460" t="str">
        <f t="shared" si="12"/>
        <v>[fr]B - Bergbau und Gewinnung von Steinen und Erden</v>
      </c>
      <c r="J269" s="460" t="str">
        <f t="shared" si="13"/>
        <v>[pt]B - Bergbau und Gewinnung von Steinen und Erden</v>
      </c>
      <c r="K269" s="460" t="str">
        <f t="shared" si="14"/>
        <v>[gr]B - Bergbau und Gewinnung von Steinen und Erden</v>
      </c>
    </row>
    <row r="270" spans="2:11" ht="28.5" customHeight="1">
      <c r="D270" s="459" t="str">
        <f t="shared" si="5"/>
        <v>C - Manufacturing industries (not further specified)</v>
      </c>
      <c r="E270" s="460" t="s">
        <v>1685</v>
      </c>
      <c r="F270" s="460" t="s">
        <v>1686</v>
      </c>
      <c r="G270" s="466" t="s">
        <v>1687</v>
      </c>
      <c r="H270" s="460" t="s">
        <v>1688</v>
      </c>
      <c r="I270" s="460" t="str">
        <f t="shared" si="12"/>
        <v>[fr]C - Verarbeitendes Gewerbe (nicht weiter spezifiziert)</v>
      </c>
      <c r="J270" s="460" t="str">
        <f t="shared" si="13"/>
        <v>[pt]C - Verarbeitendes Gewerbe (nicht weiter spezifiziert)</v>
      </c>
      <c r="K270" s="460" t="str">
        <f t="shared" si="14"/>
        <v>[gr]C - Verarbeitendes Gewerbe (nicht weiter spezifiziert)</v>
      </c>
    </row>
    <row r="271" spans="2:11" ht="28.5" customHeight="1">
      <c r="D271" s="459" t="str">
        <f t="shared" si="5"/>
        <v>Ca - Food production, drinks and tobacco (C10, C11, C12)</v>
      </c>
      <c r="E271" s="460" t="s">
        <v>1689</v>
      </c>
      <c r="F271" s="460" t="s">
        <v>1690</v>
      </c>
      <c r="G271" s="466" t="s">
        <v>1691</v>
      </c>
      <c r="H271" s="460" t="s">
        <v>1692</v>
      </c>
      <c r="I271" s="460" t="str">
        <f t="shared" si="12"/>
        <v>[fr]Ca - Produktion von Lebensmittel, Getränken und Tabak (C10,C11,C12)</v>
      </c>
      <c r="J271" s="460" t="str">
        <f t="shared" si="13"/>
        <v>[pt]Ca - Produktion von Lebensmittel, Getränken und Tabak (C10,C11,C12)</v>
      </c>
      <c r="K271" s="460" t="str">
        <f t="shared" si="14"/>
        <v>[gr]Ca - Produktion von Lebensmittel, Getränken und Tabak (C10,C11,C12)</v>
      </c>
    </row>
    <row r="272" spans="2:11" ht="28.5" customHeight="1">
      <c r="D272" s="459" t="str">
        <f t="shared" si="5"/>
        <v>Cb - Textile production, clothing, leather and leather products (C13, C14, C15)</v>
      </c>
      <c r="E272" s="460" t="s">
        <v>1693</v>
      </c>
      <c r="F272" s="460" t="s">
        <v>1694</v>
      </c>
      <c r="G272" s="466" t="s">
        <v>1695</v>
      </c>
      <c r="H272" s="460" t="s">
        <v>1696</v>
      </c>
      <c r="I272" s="460" t="str">
        <f t="shared" si="12"/>
        <v>[fr]Cb - Produktion von Textilien, Kleidung, Leder und Produkten hieraus (C13,C14,C15)</v>
      </c>
      <c r="J272" s="460" t="str">
        <f t="shared" si="13"/>
        <v>[pt]Cb - Produktion von Textilien, Kleidung, Leder und Produkten hieraus (C13,C14,C15)</v>
      </c>
      <c r="K272" s="460" t="str">
        <f t="shared" si="14"/>
        <v>[gr]Cb - Produktion von Textilien, Kleidung, Leder und Produkten hieraus (C13,C14,C15)</v>
      </c>
    </row>
    <row r="273" spans="4:11" ht="41.85" customHeight="1">
      <c r="D273" s="459" t="str">
        <f t="shared" si="5"/>
        <v>Cc - Paper and forest products, also printed matter (C16, C17, C18)</v>
      </c>
      <c r="E273" s="460" t="s">
        <v>1697</v>
      </c>
      <c r="F273" s="460" t="s">
        <v>1698</v>
      </c>
      <c r="G273" s="466" t="s">
        <v>1699</v>
      </c>
      <c r="H273" s="460" t="s">
        <v>1700</v>
      </c>
      <c r="I273" s="460" t="str">
        <f t="shared" si="12"/>
        <v>[fr]Cc - Produktion von Holz- und Papierprodukten sowie Drucksorten (C16,C17,C18)</v>
      </c>
      <c r="J273" s="460" t="str">
        <f t="shared" si="13"/>
        <v>[pt]Cc - Produktion von Holz- und Papierprodukten sowie Drucksorten (C16,C17,C18)</v>
      </c>
      <c r="K273" s="460" t="str">
        <f t="shared" si="14"/>
        <v>[gr]Cc - Produktion von Holz- und Papierprodukten sowie Drucksorten (C16,C17,C18)</v>
      </c>
    </row>
    <row r="274" spans="4:11" ht="41.85" customHeight="1">
      <c r="D274" s="459" t="str">
        <f t="shared" si="5"/>
        <v>Cd - Production of petrochemical products and plastics (C19, C20;C22)</v>
      </c>
      <c r="E274" s="460" t="s">
        <v>1701</v>
      </c>
      <c r="F274" s="460" t="s">
        <v>1702</v>
      </c>
      <c r="G274" s="466" t="s">
        <v>1703</v>
      </c>
      <c r="H274" s="460" t="s">
        <v>1704</v>
      </c>
      <c r="I274" s="460" t="str">
        <f t="shared" si="12"/>
        <v>[fr]Cd - Produktion von petrochemischen Produkte und Kunststoffen (C19, C20;C22)</v>
      </c>
      <c r="J274" s="460" t="str">
        <f t="shared" si="13"/>
        <v>[pt]Cd - Produktion von petrochemischen Produkte und Kunststoffen (C19, C20;C22)</v>
      </c>
      <c r="K274" s="460" t="str">
        <f t="shared" si="14"/>
        <v>[gr]Cd - Produktion von petrochemischen Produkte und Kunststoffen (C19, C20;C22)</v>
      </c>
    </row>
    <row r="275" spans="4:11" ht="28.5" customHeight="1">
      <c r="D275" s="459" t="str">
        <f t="shared" si="5"/>
        <v>Ce - Pharmaceutical products and preparations (C21)</v>
      </c>
      <c r="E275" s="460" t="s">
        <v>1705</v>
      </c>
      <c r="F275" s="460" t="s">
        <v>1706</v>
      </c>
      <c r="G275" s="466" t="s">
        <v>1707</v>
      </c>
      <c r="H275" s="460" t="s">
        <v>1708</v>
      </c>
      <c r="I275" s="460" t="str">
        <f t="shared" si="12"/>
        <v>[fr]Ce - Produktion von pharmazeutischen Produktion und Präparaten (C21)</v>
      </c>
      <c r="J275" s="460" t="str">
        <f t="shared" si="13"/>
        <v>[pt]Ce - Produktion von pharmazeutischen Produktion und Präparaten (C21)</v>
      </c>
      <c r="K275" s="460" t="str">
        <f t="shared" si="14"/>
        <v>[gr]Ce - Produktion von pharmazeutischen Produktion und Präparaten (C21)</v>
      </c>
    </row>
    <row r="276" spans="4:11" ht="28.5" customHeight="1">
      <c r="D276" s="459" t="str">
        <f t="shared" si="5"/>
        <v>Cf - Production of non-metallic minerals (C23)</v>
      </c>
      <c r="E276" s="460" t="s">
        <v>1709</v>
      </c>
      <c r="F276" s="460" t="s">
        <v>1710</v>
      </c>
      <c r="G276" s="466" t="s">
        <v>1711</v>
      </c>
      <c r="H276" s="460" t="s">
        <v>1712</v>
      </c>
      <c r="I276" s="460" t="str">
        <f t="shared" si="12"/>
        <v>[fr]Cf - Produktion nicht metallischer Mineralstoffe (C23)</v>
      </c>
      <c r="J276" s="460" t="str">
        <f t="shared" si="13"/>
        <v>[pt]Cf - Produktion nicht metallischer Mineralstoffe (C23)</v>
      </c>
      <c r="K276" s="460" t="str">
        <f t="shared" si="14"/>
        <v>[gr]Cf - Produktion nicht metallischer Mineralstoffe (C23)</v>
      </c>
    </row>
    <row r="277" spans="4:11" ht="54.75" customHeight="1">
      <c r="D277" s="459" t="str">
        <f t="shared" si="5"/>
        <v>Cg - Production of metal and metallic products (excl. machines and equipment) (C24, C25)</v>
      </c>
      <c r="E277" s="460" t="s">
        <v>1713</v>
      </c>
      <c r="F277" s="460" t="s">
        <v>1714</v>
      </c>
      <c r="G277" s="466" t="s">
        <v>1715</v>
      </c>
      <c r="H277" s="460" t="s">
        <v>1716</v>
      </c>
      <c r="I277" s="460" t="str">
        <f t="shared" si="12"/>
        <v>[fr]Cg - Produktion von Metallen und metallischen Produkten (exkl. Maschinen und Geräten) (C24,C25)</v>
      </c>
      <c r="J277" s="460" t="str">
        <f t="shared" si="13"/>
        <v>[pt]Cg - Produktion von Metallen und metallischen Produkten (exkl. Maschinen und Geräten) (C24,C25)</v>
      </c>
      <c r="K277" s="460" t="str">
        <f t="shared" si="14"/>
        <v>[gr]Cg - Produktion von Metallen und metallischen Produkten (exkl. Maschinen und Geräten) (C24,C25)</v>
      </c>
    </row>
    <row r="278" spans="4:11" ht="54.75" customHeight="1">
      <c r="D278" s="459" t="str">
        <f t="shared" si="5"/>
        <v>Ch - Production of electronic equipment, instruments and components as well as computers (C26, C27, C28)</v>
      </c>
      <c r="E278" s="460" t="s">
        <v>1717</v>
      </c>
      <c r="F278" s="460" t="s">
        <v>1718</v>
      </c>
      <c r="G278" s="466" t="s">
        <v>1719</v>
      </c>
      <c r="H278" s="460" t="s">
        <v>1720</v>
      </c>
      <c r="I278" s="460" t="str">
        <f t="shared" si="12"/>
        <v>[fr]Ch - Produktion von elektronischen, optischen und sonstigen Geräten und Bauteilen sowie Computer (C26,C27,C28)</v>
      </c>
      <c r="J278" s="460" t="str">
        <f t="shared" si="13"/>
        <v>[pt]Ch - Produktion von elektronischen, optischen und sonstigen Geräten und Bauteilen sowie Computer (C26,C27,C28)</v>
      </c>
      <c r="K278" s="460" t="str">
        <f t="shared" si="14"/>
        <v>[gr]Ch - Produktion von elektronischen, optischen und sonstigen Geräten und Bauteilen sowie Computer (C26,C27,C28)</v>
      </c>
    </row>
    <row r="279" spans="4:11" ht="28.5" customHeight="1">
      <c r="D279" s="459" t="str">
        <f t="shared" si="5"/>
        <v>D - Electric, Gas, Steam and Refrigeration</v>
      </c>
      <c r="E279" s="460" t="s">
        <v>1721</v>
      </c>
      <c r="F279" s="460" t="s">
        <v>1722</v>
      </c>
      <c r="G279" s="466" t="s">
        <v>1723</v>
      </c>
      <c r="H279" s="460" t="s">
        <v>1724</v>
      </c>
      <c r="I279" s="460" t="str">
        <f t="shared" si="12"/>
        <v xml:space="preserve">[fr]D - Strom-, Gas-, Dampfversorgung und Kühlung </v>
      </c>
      <c r="J279" s="460" t="str">
        <f t="shared" si="13"/>
        <v xml:space="preserve">[pt]D - Strom-, Gas-, Dampfversorgung und Kühlung </v>
      </c>
      <c r="K279" s="460" t="str">
        <f t="shared" si="14"/>
        <v xml:space="preserve">[gr]D - Strom-, Gas-, Dampfversorgung und Kühlung </v>
      </c>
    </row>
    <row r="280" spans="4:11" ht="28.5" customHeight="1">
      <c r="D280" s="459" t="str">
        <f t="shared" si="5"/>
        <v>E - Water supply, waste management</v>
      </c>
      <c r="E280" s="460" t="s">
        <v>1725</v>
      </c>
      <c r="F280" s="460" t="s">
        <v>1726</v>
      </c>
      <c r="G280" s="466" t="s">
        <v>1727</v>
      </c>
      <c r="H280" s="460" t="s">
        <v>1728</v>
      </c>
      <c r="I280" s="460" t="str">
        <f t="shared" si="12"/>
        <v>[fr]E - Wasserversorgung, Abfallwirtschaft</v>
      </c>
      <c r="J280" s="460" t="str">
        <f t="shared" si="13"/>
        <v>[pt]E - Wasserversorgung, Abfallwirtschaft</v>
      </c>
      <c r="K280" s="460" t="str">
        <f t="shared" si="14"/>
        <v>[gr]E - Wasserversorgung, Abfallwirtschaft</v>
      </c>
    </row>
    <row r="281" spans="4:11" ht="15.75" customHeight="1">
      <c r="D281" s="459" t="str">
        <f t="shared" si="5"/>
        <v>F - Construction industry</v>
      </c>
      <c r="E281" s="460" t="s">
        <v>1729</v>
      </c>
      <c r="F281" s="460" t="s">
        <v>1730</v>
      </c>
      <c r="G281" s="466" t="s">
        <v>1731</v>
      </c>
      <c r="H281" s="460" t="s">
        <v>1732</v>
      </c>
      <c r="I281" s="460" t="str">
        <f t="shared" si="12"/>
        <v>[fr]F - Baugewerbe</v>
      </c>
      <c r="J281" s="460" t="str">
        <f t="shared" si="13"/>
        <v>[pt]F - Baugewerbe</v>
      </c>
      <c r="K281" s="460" t="str">
        <f t="shared" si="14"/>
        <v>[gr]F - Baugewerbe</v>
      </c>
    </row>
    <row r="282" spans="4:11" ht="41.85" customHeight="1">
      <c r="D282" s="459" t="str">
        <f t="shared" si="5"/>
        <v>G - Wholesale and retail</v>
      </c>
      <c r="E282" s="465" t="s">
        <v>1733</v>
      </c>
      <c r="F282" s="460" t="s">
        <v>1734</v>
      </c>
      <c r="G282" s="466" t="s">
        <v>1735</v>
      </c>
      <c r="H282" s="460" t="s">
        <v>1736</v>
      </c>
      <c r="I282" s="460" t="str">
        <f t="shared" si="12"/>
        <v>[fr]G - Groß- und Einzelhandel sowie Werkstätten für Kraftfahrzeuge (Anmerkung: Groß- und Einzelhandel nicht auf KFZ beschränkt)</v>
      </c>
      <c r="J282" s="460" t="str">
        <f t="shared" si="13"/>
        <v>[pt]G - Groß- und Einzelhandel sowie Werkstätten für Kraftfahrzeuge (Anmerkung: Groß- und Einzelhandel nicht auf KFZ beschränkt)</v>
      </c>
      <c r="K282" s="460" t="str">
        <f t="shared" si="14"/>
        <v>[gr]G - Groß- und Einzelhandel sowie Werkstätten für Kraftfahrzeuge (Anmerkung: Groß- und Einzelhandel nicht auf KFZ beschränkt)</v>
      </c>
    </row>
    <row r="283" spans="4:11" ht="15.75" customHeight="1">
      <c r="D283" s="459" t="str">
        <f t="shared" si="5"/>
        <v>H - Transport and warehousing</v>
      </c>
      <c r="E283" s="460" t="s">
        <v>1737</v>
      </c>
      <c r="F283" s="460" t="s">
        <v>1738</v>
      </c>
      <c r="G283" s="466" t="s">
        <v>1739</v>
      </c>
      <c r="H283" s="460" t="s">
        <v>1740</v>
      </c>
      <c r="I283" s="460" t="str">
        <f t="shared" si="12"/>
        <v>[fr]H - Verkehr und Lagerhaltung</v>
      </c>
      <c r="J283" s="460" t="str">
        <f t="shared" si="13"/>
        <v>[pt]H - Verkehr und Lagerhaltung</v>
      </c>
      <c r="K283" s="460" t="str">
        <f t="shared" si="14"/>
        <v>[gr]H - Verkehr und Lagerhaltung</v>
      </c>
    </row>
    <row r="284" spans="4:11" ht="15.75" customHeight="1">
      <c r="D284" s="459" t="str">
        <f t="shared" si="5"/>
        <v>I - Accommodation and catering</v>
      </c>
      <c r="E284" s="460" t="s">
        <v>1741</v>
      </c>
      <c r="F284" s="460" t="s">
        <v>1742</v>
      </c>
      <c r="G284" s="466" t="s">
        <v>1743</v>
      </c>
      <c r="H284" s="460" t="s">
        <v>1744</v>
      </c>
      <c r="I284" s="460" t="str">
        <f t="shared" si="12"/>
        <v>[fr]I - Beherbergung und Gastronomie</v>
      </c>
      <c r="J284" s="460" t="str">
        <f t="shared" si="13"/>
        <v>[pt]I - Beherbergung und Gastronomie</v>
      </c>
      <c r="K284" s="460" t="str">
        <f t="shared" si="14"/>
        <v>[gr]I - Beherbergung und Gastronomie</v>
      </c>
    </row>
    <row r="285" spans="4:11" ht="15.75" customHeight="1">
      <c r="D285" s="459" t="str">
        <f t="shared" si="5"/>
        <v>J - Information and Communication</v>
      </c>
      <c r="E285" s="460" t="s">
        <v>1745</v>
      </c>
      <c r="F285" s="460" t="s">
        <v>1746</v>
      </c>
      <c r="G285" s="466" t="s">
        <v>1747</v>
      </c>
      <c r="H285" s="460" t="s">
        <v>1748</v>
      </c>
      <c r="I285" s="460" t="str">
        <f t="shared" si="12"/>
        <v>[fr]J - Information und Kommunikation</v>
      </c>
      <c r="J285" s="460" t="str">
        <f t="shared" si="13"/>
        <v>[pt]J - Information und Kommunikation</v>
      </c>
      <c r="K285" s="460" t="str">
        <f t="shared" si="14"/>
        <v>[gr]J - Information und Kommunikation</v>
      </c>
    </row>
    <row r="286" spans="4:11" ht="15.75" customHeight="1">
      <c r="D286" s="459" t="str">
        <f t="shared" si="5"/>
        <v>K - Financial services</v>
      </c>
      <c r="E286" s="460" t="s">
        <v>1749</v>
      </c>
      <c r="F286" s="460" t="s">
        <v>1750</v>
      </c>
      <c r="G286" s="466" t="s">
        <v>1751</v>
      </c>
      <c r="H286" s="460" t="s">
        <v>1752</v>
      </c>
      <c r="I286" s="460" t="str">
        <f t="shared" si="12"/>
        <v>[fr]K - Kredit- und Finanzwesen</v>
      </c>
      <c r="J286" s="460" t="str">
        <f t="shared" si="13"/>
        <v>[pt]K - Kredit- und Finanzwesen</v>
      </c>
      <c r="K286" s="460" t="str">
        <f t="shared" si="14"/>
        <v>[gr]K - Kredit- und Finanzwesen</v>
      </c>
    </row>
    <row r="287" spans="4:11" ht="15.75" customHeight="1">
      <c r="D287" s="459" t="str">
        <f t="shared" si="5"/>
        <v>L - Real estate</v>
      </c>
      <c r="E287" s="460" t="s">
        <v>1753</v>
      </c>
      <c r="F287" s="460" t="s">
        <v>1754</v>
      </c>
      <c r="G287" s="466" t="s">
        <v>1755</v>
      </c>
      <c r="H287" s="460" t="s">
        <v>1756</v>
      </c>
      <c r="I287" s="460" t="str">
        <f t="shared" si="12"/>
        <v>[fr]L - (Immobilienwirtschaft</v>
      </c>
      <c r="J287" s="460" t="str">
        <f t="shared" si="13"/>
        <v>[pt]L - (Immobilienwirtschaft</v>
      </c>
      <c r="K287" s="460" t="str">
        <f t="shared" si="14"/>
        <v>[gr]L - (Immobilienwirtschaft</v>
      </c>
    </row>
    <row r="288" spans="4:11" ht="28.5" customHeight="1">
      <c r="D288" s="459" t="str">
        <f t="shared" si="5"/>
        <v>M - Professional, technical and scientific services</v>
      </c>
      <c r="E288" s="460" t="s">
        <v>1757</v>
      </c>
      <c r="F288" s="460" t="s">
        <v>1758</v>
      </c>
      <c r="G288" s="466" t="s">
        <v>1759</v>
      </c>
      <c r="H288" s="460" t="s">
        <v>1760</v>
      </c>
      <c r="I288" s="460" t="str">
        <f t="shared" si="12"/>
        <v>[fr]M - Freiberufliche, wissenschaftliche und technische Dienstleistungen</v>
      </c>
      <c r="J288" s="460" t="str">
        <f t="shared" si="13"/>
        <v>[pt]M - Freiberufliche, wissenschaftliche und technische Dienstleistungen</v>
      </c>
      <c r="K288" s="460" t="str">
        <f t="shared" si="14"/>
        <v>[gr]M - Freiberufliche, wissenschaftliche und technische Dienstleistungen</v>
      </c>
    </row>
    <row r="289" spans="1:11" ht="28.5" customHeight="1">
      <c r="D289" s="459" t="str">
        <f t="shared" si="5"/>
        <v>N - Administrative and support services</v>
      </c>
      <c r="E289" s="460" t="s">
        <v>1761</v>
      </c>
      <c r="F289" s="460" t="s">
        <v>1762</v>
      </c>
      <c r="G289" s="466" t="s">
        <v>1763</v>
      </c>
      <c r="H289" s="460" t="s">
        <v>1764</v>
      </c>
      <c r="I289" s="460" t="str">
        <f t="shared" si="12"/>
        <v>[fr]N - Administrative und unterstützende Dienstleistungen</v>
      </c>
      <c r="J289" s="460" t="str">
        <f t="shared" si="13"/>
        <v>[pt]N - Administrative und unterstützende Dienstleistungen</v>
      </c>
      <c r="K289" s="460" t="str">
        <f t="shared" si="14"/>
        <v>[gr]N - Administrative und unterstützende Dienstleistungen</v>
      </c>
    </row>
    <row r="290" spans="1:11" ht="28.5" customHeight="1">
      <c r="D290" s="459" t="str">
        <f t="shared" si="5"/>
        <v>O - Public administration; defence; social security</v>
      </c>
      <c r="E290" s="460" t="s">
        <v>1765</v>
      </c>
      <c r="F290" s="460" t="s">
        <v>1766</v>
      </c>
      <c r="G290" s="466" t="s">
        <v>1767</v>
      </c>
      <c r="H290" s="460" t="s">
        <v>1768</v>
      </c>
      <c r="I290" s="460" t="str">
        <f t="shared" si="12"/>
        <v>[fr]O - Öffentliche Verwaltung; Verteidigung; Sozialversicherungswesen</v>
      </c>
      <c r="J290" s="460" t="str">
        <f t="shared" si="13"/>
        <v>[pt]O - Öffentliche Verwaltung; Verteidigung; Sozialversicherungswesen</v>
      </c>
      <c r="K290" s="460" t="str">
        <f t="shared" si="14"/>
        <v>[gr]O - Öffentliche Verwaltung; Verteidigung; Sozialversicherungswesen</v>
      </c>
    </row>
    <row r="291" spans="1:11" ht="15.75" customHeight="1">
      <c r="D291" s="459" t="str">
        <f t="shared" si="5"/>
        <v>P - Education</v>
      </c>
      <c r="E291" s="460" t="s">
        <v>8</v>
      </c>
      <c r="F291" s="460" t="s">
        <v>1769</v>
      </c>
      <c r="G291" s="466" t="s">
        <v>1770</v>
      </c>
      <c r="H291" s="460" t="s">
        <v>1771</v>
      </c>
      <c r="I291" s="460" t="str">
        <f t="shared" si="12"/>
        <v>[fr]P - Bildung</v>
      </c>
      <c r="J291" s="460" t="str">
        <f t="shared" si="13"/>
        <v>[pt]P - Bildung</v>
      </c>
      <c r="K291" s="460" t="str">
        <f t="shared" si="14"/>
        <v>[gr]P - Bildung</v>
      </c>
    </row>
    <row r="292" spans="1:11" ht="28.5" customHeight="1">
      <c r="D292" s="459" t="str">
        <f t="shared" si="5"/>
        <v>Q - Health and social work</v>
      </c>
      <c r="E292" s="460" t="s">
        <v>1772</v>
      </c>
      <c r="F292" s="460" t="s">
        <v>1773</v>
      </c>
      <c r="G292" s="466" t="s">
        <v>1774</v>
      </c>
      <c r="H292" s="460" t="s">
        <v>1775</v>
      </c>
      <c r="I292" s="460" t="str">
        <f t="shared" si="12"/>
        <v>[fr]Q - Gesundheit und Sozialarbeit</v>
      </c>
      <c r="J292" s="460" t="str">
        <f t="shared" si="13"/>
        <v>[pt]Q - Gesundheit und Sozialarbeit</v>
      </c>
      <c r="K292" s="460" t="str">
        <f t="shared" si="14"/>
        <v>[gr]Q - Gesundheit und Sozialarbeit</v>
      </c>
    </row>
    <row r="293" spans="1:11" ht="28.5" customHeight="1">
      <c r="D293" s="459" t="str">
        <f t="shared" si="5"/>
        <v>R - Art, education and leisure</v>
      </c>
      <c r="E293" s="460" t="s">
        <v>1776</v>
      </c>
      <c r="F293" s="460" t="s">
        <v>1777</v>
      </c>
      <c r="G293" s="466" t="s">
        <v>1778</v>
      </c>
      <c r="H293" s="460" t="s">
        <v>1779</v>
      </c>
      <c r="I293" s="460" t="str">
        <f t="shared" si="12"/>
        <v>[fr]R - Kunst, Unterhaltung und Erholung</v>
      </c>
      <c r="J293" s="460" t="str">
        <f t="shared" si="13"/>
        <v>[pt]R - Kunst, Unterhaltung und Erholung</v>
      </c>
      <c r="K293" s="460" t="str">
        <f t="shared" si="14"/>
        <v>[gr]R - Kunst, Unterhaltung und Erholung</v>
      </c>
    </row>
    <row r="294" spans="1:11" ht="15.75" customHeight="1">
      <c r="D294" s="459" t="str">
        <f t="shared" ref="D294:D338" si="15">HLOOKUP($C$1,$E$1:$X$4910,ROW(D294))</f>
        <v>S - Other services</v>
      </c>
      <c r="E294" s="460" t="s">
        <v>1780</v>
      </c>
      <c r="F294" s="460" t="s">
        <v>1781</v>
      </c>
      <c r="G294" s="466" t="s">
        <v>1782</v>
      </c>
      <c r="H294" s="460" t="s">
        <v>1783</v>
      </c>
      <c r="I294" s="460" t="str">
        <f t="shared" si="12"/>
        <v>[fr]S - Andere Dienstleistungen</v>
      </c>
      <c r="J294" s="460" t="str">
        <f t="shared" si="13"/>
        <v>[pt]S - Andere Dienstleistungen</v>
      </c>
      <c r="K294" s="460" t="str">
        <f t="shared" si="14"/>
        <v>[gr]S - Andere Dienstleistungen</v>
      </c>
    </row>
    <row r="295" spans="1:11" ht="54.75" customHeight="1">
      <c r="A295" s="526"/>
      <c r="B295" s="526"/>
      <c r="C295" s="526"/>
      <c r="D295" s="459" t="str">
        <f t="shared" si="15"/>
        <v>Please enter</v>
      </c>
      <c r="E295" s="465" t="s">
        <v>1784</v>
      </c>
      <c r="F295" s="460" t="s">
        <v>1785</v>
      </c>
      <c r="G295" s="466" t="s">
        <v>1468</v>
      </c>
      <c r="H295" s="460" t="s">
        <v>1786</v>
      </c>
      <c r="I295" s="460" t="str">
        <f t="shared" si="12"/>
        <v>[fr]T - Private Haushalte</v>
      </c>
      <c r="J295" s="460" t="str">
        <f t="shared" si="13"/>
        <v>[pt]T - Private Haushalte</v>
      </c>
      <c r="K295" s="460" t="str">
        <f t="shared" si="14"/>
        <v>[gr]T - Private Haushalte</v>
      </c>
    </row>
    <row r="296" spans="1:11" ht="28.5" customHeight="1">
      <c r="D296" s="459" t="str">
        <f t="shared" si="15"/>
        <v>U - Extraterritorial organisations and bodies</v>
      </c>
      <c r="E296" s="460" t="s">
        <v>1787</v>
      </c>
      <c r="F296" s="460" t="s">
        <v>1788</v>
      </c>
      <c r="G296" s="466" t="s">
        <v>1789</v>
      </c>
      <c r="H296" s="460" t="s">
        <v>1790</v>
      </c>
      <c r="I296" s="460" t="str">
        <f t="shared" si="12"/>
        <v>[fr]U - Exterritoriale Organisationen und Körperschaften</v>
      </c>
      <c r="J296" s="460" t="str">
        <f t="shared" si="13"/>
        <v>[pt]U - Exterritoriale Organisationen und Körperschaften</v>
      </c>
      <c r="K296" s="460" t="str">
        <f t="shared" si="14"/>
        <v>[gr]U - Exterritoriale Organisationen und Körperschaften</v>
      </c>
    </row>
    <row r="297" spans="1:11" ht="15.75" customHeight="1">
      <c r="D297" s="459" t="str">
        <f t="shared" si="15"/>
        <v>Total purchases from suppliers (in Euros):</v>
      </c>
      <c r="E297" s="460" t="s">
        <v>1791</v>
      </c>
      <c r="F297" s="460" t="s">
        <v>1792</v>
      </c>
      <c r="G297" s="466" t="s">
        <v>1793</v>
      </c>
      <c r="H297" s="460" t="s">
        <v>1794</v>
      </c>
      <c r="I297" s="460" t="str">
        <f t="shared" si="12"/>
        <v>[fr]Gesamt-Ausgaben an Lieferanten (in Euro):</v>
      </c>
      <c r="J297" s="460" t="str">
        <f t="shared" si="13"/>
        <v>[pt]Gesamt-Ausgaben an Lieferanten (in Euro):</v>
      </c>
      <c r="K297" s="460" t="str">
        <f t="shared" si="14"/>
        <v>[gr]Gesamt-Ausgaben an Lieferanten (in Euro):</v>
      </c>
    </row>
    <row r="298" spans="1:11" ht="41.85" customHeight="1">
      <c r="D298" s="459" t="str">
        <f t="shared" si="15"/>
        <v>Enter the 5 most important industry sectors whose products or services you use.</v>
      </c>
      <c r="E298" s="460" t="s">
        <v>1795</v>
      </c>
      <c r="F298" s="460" t="s">
        <v>1796</v>
      </c>
      <c r="G298" s="466" t="s">
        <v>1797</v>
      </c>
      <c r="H298" s="460" t="s">
        <v>1798</v>
      </c>
      <c r="I298" s="460" t="str">
        <f t="shared" si="12"/>
        <v xml:space="preserve">[fr]Tragen Sie nachstehend, bitte die 5 wichtigstenBranchen ein, aus denen Sie Produkte/Dienstleistungen beziehen. </v>
      </c>
      <c r="J298" s="460" t="str">
        <f t="shared" si="13"/>
        <v xml:space="preserve">[pt]Tragen Sie nachstehend, bitte die 5 wichtigstenBranchen ein, aus denen Sie Produkte/Dienstleistungen beziehen. </v>
      </c>
      <c r="K298" s="460" t="str">
        <f t="shared" si="14"/>
        <v xml:space="preserve">[gr]Tragen Sie nachstehend, bitte die 5 wichtigstenBranchen ein, aus denen Sie Produkte/Dienstleistungen beziehen. </v>
      </c>
    </row>
    <row r="299" spans="1:11" ht="15.75" customHeight="1">
      <c r="D299" s="459" t="str">
        <f t="shared" si="15"/>
        <v>Industry sector</v>
      </c>
      <c r="E299" s="460" t="s">
        <v>1799</v>
      </c>
      <c r="F299" s="460" t="s">
        <v>1800</v>
      </c>
      <c r="G299" s="466" t="s">
        <v>1801</v>
      </c>
      <c r="H299" s="460" t="s">
        <v>1802</v>
      </c>
      <c r="I299" s="460" t="str">
        <f t="shared" si="12"/>
        <v>[fr]Branche</v>
      </c>
      <c r="J299" s="460" t="str">
        <f t="shared" si="13"/>
        <v>[pt]Branche</v>
      </c>
      <c r="K299" s="460" t="str">
        <f t="shared" si="14"/>
        <v>[gr]Branche</v>
      </c>
    </row>
    <row r="300" spans="1:11" ht="15.75" customHeight="1">
      <c r="D300" s="459" t="str">
        <f t="shared" si="15"/>
        <v>Description</v>
      </c>
      <c r="E300" s="460" t="s">
        <v>1803</v>
      </c>
      <c r="F300" s="460" t="s">
        <v>1013</v>
      </c>
      <c r="G300" s="466" t="s">
        <v>1804</v>
      </c>
      <c r="H300" s="460" t="s">
        <v>1805</v>
      </c>
      <c r="I300" s="460" t="str">
        <f t="shared" si="12"/>
        <v>[fr]Beschreibung</v>
      </c>
      <c r="J300" s="460" t="str">
        <f t="shared" si="13"/>
        <v>[pt]Beschreibung</v>
      </c>
      <c r="K300" s="460" t="str">
        <f t="shared" si="14"/>
        <v>[gr]Beschreibung</v>
      </c>
    </row>
    <row r="301" spans="1:11" ht="15.75" customHeight="1">
      <c r="D301" s="459" t="str">
        <f t="shared" si="15"/>
        <v>Region of origin</v>
      </c>
      <c r="E301" s="460" t="s">
        <v>1806</v>
      </c>
      <c r="F301" s="460" t="s">
        <v>1807</v>
      </c>
      <c r="G301" s="466" t="s">
        <v>1808</v>
      </c>
      <c r="H301" s="460" t="s">
        <v>1809</v>
      </c>
      <c r="I301" s="460" t="str">
        <f t="shared" si="12"/>
        <v>[fr]regionale Herkunft</v>
      </c>
      <c r="J301" s="460" t="str">
        <f t="shared" si="13"/>
        <v>[pt]regionale Herkunft</v>
      </c>
      <c r="K301" s="460" t="str">
        <f t="shared" si="14"/>
        <v>[gr]regionale Herkunft</v>
      </c>
    </row>
    <row r="302" spans="1:11" ht="15.75" customHeight="1">
      <c r="D302" s="459" t="str">
        <f t="shared" si="15"/>
        <v>Costs</v>
      </c>
      <c r="E302" s="460" t="s">
        <v>1810</v>
      </c>
      <c r="F302" s="460" t="s">
        <v>1811</v>
      </c>
      <c r="G302" s="466" t="s">
        <v>1812</v>
      </c>
      <c r="H302" s="460" t="s">
        <v>1813</v>
      </c>
      <c r="I302" s="460" t="str">
        <f t="shared" si="12"/>
        <v>[fr]Ausgaben</v>
      </c>
      <c r="J302" s="460" t="str">
        <f t="shared" si="13"/>
        <v>[pt]Ausgaben</v>
      </c>
      <c r="K302" s="460" t="str">
        <f t="shared" si="14"/>
        <v>[gr]Ausgaben</v>
      </c>
    </row>
    <row r="303" spans="1:11" ht="28.5" customHeight="1">
      <c r="D303" s="459" t="str">
        <f t="shared" si="15"/>
        <v>Main origin of the other suppliers</v>
      </c>
      <c r="E303" s="460" t="s">
        <v>1814</v>
      </c>
      <c r="F303" s="460" t="s">
        <v>1815</v>
      </c>
      <c r="G303" s="466" t="s">
        <v>1816</v>
      </c>
      <c r="H303" s="460" t="s">
        <v>1817</v>
      </c>
      <c r="I303" s="460" t="str">
        <f t="shared" si="12"/>
        <v>[fr]Überwiegende Herkunft restlicher Lieferanten</v>
      </c>
      <c r="J303" s="460" t="str">
        <f t="shared" si="13"/>
        <v>[pt]Überwiegende Herkunft restlicher Lieferanten</v>
      </c>
      <c r="K303" s="460" t="str">
        <f t="shared" si="14"/>
        <v>[gr]Überwiegende Herkunft restlicher Lieferanten</v>
      </c>
    </row>
    <row r="304" spans="1:11" ht="15.75" customHeight="1">
      <c r="D304" s="459" t="str">
        <f t="shared" si="15"/>
        <v>Profit</v>
      </c>
      <c r="E304" s="460" t="s">
        <v>1818</v>
      </c>
      <c r="F304" s="480" t="s">
        <v>1819</v>
      </c>
      <c r="G304" s="466" t="s">
        <v>1820</v>
      </c>
      <c r="H304" s="460" t="s">
        <v>1821</v>
      </c>
      <c r="I304" s="460" t="str">
        <f t="shared" si="12"/>
        <v>[fr]Gewinn (EBIT):</v>
      </c>
      <c r="J304" s="460" t="str">
        <f t="shared" si="13"/>
        <v>[pt]Gewinn (EBIT):</v>
      </c>
      <c r="K304" s="460" t="str">
        <f t="shared" si="14"/>
        <v>[gr]Gewinn (EBIT):</v>
      </c>
    </row>
    <row r="305" spans="4:11" ht="15.75" customHeight="1">
      <c r="D305" s="459" t="str">
        <f t="shared" si="15"/>
        <v>Financing costs</v>
      </c>
      <c r="E305" s="460" t="s">
        <v>1822</v>
      </c>
      <c r="F305" s="460" t="s">
        <v>1823</v>
      </c>
      <c r="G305" s="466" t="s">
        <v>1824</v>
      </c>
      <c r="H305" s="460" t="s">
        <v>1825</v>
      </c>
      <c r="I305" s="460" t="str">
        <f t="shared" si="12"/>
        <v>[fr]Finanzierungskosten</v>
      </c>
      <c r="J305" s="460" t="str">
        <f t="shared" si="13"/>
        <v>[pt]Finanzierungskosten</v>
      </c>
      <c r="K305" s="460" t="str">
        <f t="shared" si="14"/>
        <v>[gr]Finanzierungskosten</v>
      </c>
    </row>
    <row r="306" spans="4:11" ht="15.75" customHeight="1">
      <c r="D306" s="459" t="str">
        <f t="shared" si="15"/>
        <v>Income from financial investments</v>
      </c>
      <c r="E306" s="460" t="s">
        <v>1826</v>
      </c>
      <c r="F306" s="460" t="s">
        <v>1827</v>
      </c>
      <c r="G306" s="466" t="s">
        <v>1828</v>
      </c>
      <c r="H306" s="460" t="s">
        <v>1829</v>
      </c>
      <c r="I306" s="460" t="str">
        <f t="shared" si="12"/>
        <v>[fr]Erträge aus Finanzanlagen</v>
      </c>
      <c r="J306" s="460" t="str">
        <f t="shared" si="13"/>
        <v>[pt]Erträge aus Finanzanlagen</v>
      </c>
      <c r="K306" s="460" t="str">
        <f t="shared" si="14"/>
        <v>[gr]Erträge aus Finanzanlagen</v>
      </c>
    </row>
    <row r="307" spans="4:11" ht="15.75" customHeight="1">
      <c r="D307" s="459" t="str">
        <f t="shared" si="15"/>
        <v>Total assets</v>
      </c>
      <c r="E307" s="460" t="s">
        <v>1830</v>
      </c>
      <c r="F307" s="480" t="s">
        <v>1831</v>
      </c>
      <c r="G307" s="466" t="s">
        <v>1832</v>
      </c>
      <c r="H307" s="460" t="s">
        <v>1833</v>
      </c>
      <c r="I307" s="460" t="str">
        <f t="shared" si="12"/>
        <v>[fr]Bilanzaktiva</v>
      </c>
      <c r="J307" s="460" t="str">
        <f t="shared" si="13"/>
        <v>[pt]Bilanzaktiva</v>
      </c>
      <c r="K307" s="460" t="str">
        <f t="shared" si="14"/>
        <v>[gr]Bilanzaktiva</v>
      </c>
    </row>
    <row r="308" spans="4:11" ht="15.75" customHeight="1">
      <c r="D308" s="459" t="str">
        <f t="shared" si="15"/>
        <v>Additions to fixed-assets</v>
      </c>
      <c r="E308" s="460" t="s">
        <v>1834</v>
      </c>
      <c r="F308" s="480" t="s">
        <v>1835</v>
      </c>
      <c r="G308" s="466" t="s">
        <v>1836</v>
      </c>
      <c r="H308" s="460" t="s">
        <v>1837</v>
      </c>
      <c r="I308" s="460" t="str">
        <f t="shared" si="12"/>
        <v xml:space="preserve">[fr]Zugänge zum Anlagevermögen </v>
      </c>
      <c r="J308" s="460" t="str">
        <f t="shared" si="13"/>
        <v xml:space="preserve">[pt]Zugänge zum Anlagevermögen </v>
      </c>
      <c r="K308" s="460" t="str">
        <f t="shared" si="14"/>
        <v xml:space="preserve">[gr]Zugänge zum Anlagevermögen </v>
      </c>
    </row>
    <row r="309" spans="4:11" ht="15.75" customHeight="1">
      <c r="D309" s="459" t="str">
        <f t="shared" si="15"/>
        <v>Financial assets and cash balance</v>
      </c>
      <c r="E309" s="460" t="s">
        <v>1838</v>
      </c>
      <c r="F309" s="480" t="s">
        <v>1839</v>
      </c>
      <c r="G309" s="466" t="s">
        <v>1840</v>
      </c>
      <c r="H309" s="460" t="s">
        <v>1841</v>
      </c>
      <c r="I309" s="460" t="str">
        <f t="shared" si="12"/>
        <v>[fr]Finanzanlagen und Barguthaben</v>
      </c>
      <c r="J309" s="460" t="str">
        <f t="shared" si="13"/>
        <v>[pt]Finanzanlagen und Barguthaben</v>
      </c>
      <c r="K309" s="460" t="str">
        <f t="shared" si="14"/>
        <v>[gr]Finanzanlagen und Barguthaben</v>
      </c>
    </row>
    <row r="310" spans="4:11" ht="28.5" customHeight="1">
      <c r="D310" s="459" t="str">
        <f t="shared" si="15"/>
        <v>Number of employees (full time equivalents)</v>
      </c>
      <c r="E310" s="460" t="s">
        <v>1842</v>
      </c>
      <c r="F310" s="460" t="s">
        <v>1843</v>
      </c>
      <c r="G310" s="466" t="s">
        <v>1844</v>
      </c>
      <c r="H310" s="460" t="s">
        <v>1845</v>
      </c>
      <c r="I310" s="460" t="str">
        <f t="shared" si="12"/>
        <v xml:space="preserve">[fr]Anzahl der Mitarbeitenden (in Vollzeitäquivalenten): </v>
      </c>
      <c r="J310" s="460" t="str">
        <f t="shared" si="13"/>
        <v xml:space="preserve">[pt]Anzahl der Mitarbeitenden (in Vollzeitäquivalenten): </v>
      </c>
      <c r="K310" s="460" t="str">
        <f t="shared" si="14"/>
        <v xml:space="preserve">[gr]Anzahl der Mitarbeitenden (in Vollzeitäquivalenten): </v>
      </c>
    </row>
    <row r="311" spans="4:11" ht="28.5" customHeight="1">
      <c r="D311" s="459" t="str">
        <f t="shared" si="15"/>
        <v>Staff costs (gross without employer contribution)</v>
      </c>
      <c r="E311" s="460" t="s">
        <v>1846</v>
      </c>
      <c r="F311" s="460" t="s">
        <v>1847</v>
      </c>
      <c r="G311" s="466" t="s">
        <v>1848</v>
      </c>
      <c r="H311" s="460" t="s">
        <v>1849</v>
      </c>
      <c r="I311" s="460" t="str">
        <f t="shared" si="12"/>
        <v>[fr]Personalkosten (brutto ohne Dienstgeberanteil)</v>
      </c>
      <c r="J311" s="460" t="str">
        <f t="shared" si="13"/>
        <v>[pt]Personalkosten (brutto ohne Dienstgeberanteil)</v>
      </c>
      <c r="K311" s="460" t="str">
        <f t="shared" si="14"/>
        <v>[gr]Personalkosten (brutto ohne Dienstgeberanteil)</v>
      </c>
    </row>
    <row r="312" spans="4:11" ht="41.85" customHeight="1">
      <c r="D312" s="459" t="str">
        <f t="shared" si="15"/>
        <v>Enter the 3 countries and regions where most of the staff are</v>
      </c>
      <c r="E312" s="465" t="s">
        <v>1850</v>
      </c>
      <c r="F312" s="460" t="s">
        <v>1851</v>
      </c>
      <c r="G312" s="466" t="s">
        <v>1852</v>
      </c>
      <c r="H312" s="460" t="s">
        <v>1853</v>
      </c>
      <c r="I312" s="460" t="str">
        <f t="shared" si="12"/>
        <v>[fr]Tragen Sie bitte nachstehend jene drei Länder und Regionen ein, wo die meisten Mitarbeitenden arbeiten</v>
      </c>
      <c r="J312" s="460" t="str">
        <f t="shared" si="13"/>
        <v>[pt]Tragen Sie bitte nachstehend jene drei Länder und Regionen ein, wo die meisten Mitarbeitenden arbeiten</v>
      </c>
      <c r="K312" s="460" t="str">
        <f t="shared" si="14"/>
        <v>[gr]Tragen Sie bitte nachstehend jene drei Länder und Regionen ein, wo die meisten Mitarbeitenden arbeiten</v>
      </c>
    </row>
    <row r="313" spans="4:11" ht="15.75" customHeight="1">
      <c r="D313" s="459" t="str">
        <f t="shared" si="15"/>
        <v>Country and region</v>
      </c>
      <c r="E313" s="460" t="s">
        <v>1854</v>
      </c>
      <c r="F313" s="460" t="s">
        <v>1855</v>
      </c>
      <c r="G313" s="466" t="s">
        <v>1856</v>
      </c>
      <c r="H313" s="460" t="s">
        <v>1857</v>
      </c>
      <c r="I313" s="460" t="str">
        <f t="shared" si="12"/>
        <v>[fr]Land &amp; Region</v>
      </c>
      <c r="J313" s="460" t="str">
        <f t="shared" si="13"/>
        <v>[pt]Land &amp; Region</v>
      </c>
      <c r="K313" s="460" t="str">
        <f t="shared" si="14"/>
        <v>[gr]Land &amp; Region</v>
      </c>
    </row>
    <row r="314" spans="4:11" ht="15.75" customHeight="1">
      <c r="D314" s="459" t="str">
        <f t="shared" si="15"/>
        <v>Amount in %</v>
      </c>
      <c r="E314" s="460" t="s">
        <v>1858</v>
      </c>
      <c r="F314" s="460" t="s">
        <v>1859</v>
      </c>
      <c r="G314" s="466" t="s">
        <v>1860</v>
      </c>
      <c r="H314" s="460" t="s">
        <v>1861</v>
      </c>
      <c r="I314" s="460" t="str">
        <f t="shared" si="12"/>
        <v xml:space="preserve">[fr]Anteil in % </v>
      </c>
      <c r="J314" s="460" t="str">
        <f t="shared" si="13"/>
        <v xml:space="preserve">[pt]Anteil in % </v>
      </c>
      <c r="K314" s="460" t="str">
        <f t="shared" si="14"/>
        <v xml:space="preserve">[gr]Anteil in % </v>
      </c>
    </row>
    <row r="315" spans="4:11" ht="28.5" customHeight="1">
      <c r="D315" s="459" t="str">
        <f t="shared" si="15"/>
        <v>Average journey to work for staff (in km)</v>
      </c>
      <c r="E315" s="460" t="s">
        <v>1862</v>
      </c>
      <c r="F315" s="460" t="s">
        <v>1863</v>
      </c>
      <c r="G315" s="466" t="s">
        <v>1864</v>
      </c>
      <c r="H315" s="460" t="s">
        <v>1865</v>
      </c>
      <c r="I315" s="460" t="str">
        <f t="shared" si="12"/>
        <v>[fr]Durchschnittlicher Arbeitsweg der Mitarbeitenden (in km):</v>
      </c>
      <c r="J315" s="460" t="str">
        <f t="shared" si="13"/>
        <v>[pt]Durchschnittlicher Arbeitsweg der Mitarbeitenden (in km):</v>
      </c>
      <c r="K315" s="460" t="str">
        <f t="shared" si="14"/>
        <v>[gr]Durchschnittlicher Arbeitsweg der Mitarbeitenden (in km):</v>
      </c>
    </row>
    <row r="316" spans="4:11" ht="29.25" customHeight="1">
      <c r="D316" s="459" t="str">
        <f t="shared" si="15"/>
        <v>Is there a canteen for the majority of staff?</v>
      </c>
      <c r="E316" s="460" t="s">
        <v>1866</v>
      </c>
      <c r="F316" s="460" t="s">
        <v>1867</v>
      </c>
      <c r="G316" s="466" t="s">
        <v>1868</v>
      </c>
      <c r="H316" s="460" t="s">
        <v>1869</v>
      </c>
      <c r="I316" s="460" t="str">
        <f t="shared" si="12"/>
        <v>[fr]Gibt es eine Kantine für die Mehrheit der Mitarbeitenden?</v>
      </c>
      <c r="J316" s="460" t="str">
        <f t="shared" si="13"/>
        <v>[pt]Gibt es eine Kantine für die Mehrheit der Mitarbeitenden?</v>
      </c>
      <c r="K316" s="460" t="str">
        <f t="shared" si="14"/>
        <v>[gr]Gibt es eine Kantine für die Mehrheit der Mitarbeitenden?</v>
      </c>
    </row>
    <row r="317" spans="4:11" ht="15.75" customHeight="1">
      <c r="D317" s="459" t="str">
        <f t="shared" si="15"/>
        <v>Turnover (in Euros)</v>
      </c>
      <c r="E317" s="460" t="s">
        <v>1870</v>
      </c>
      <c r="F317" s="460" t="s">
        <v>1871</v>
      </c>
      <c r="G317" s="466" t="s">
        <v>1872</v>
      </c>
      <c r="H317" s="460" t="s">
        <v>1873</v>
      </c>
      <c r="I317" s="460" t="str">
        <f t="shared" si="12"/>
        <v>[fr]Umsatz (in Euro)</v>
      </c>
      <c r="J317" s="460" t="str">
        <f t="shared" si="13"/>
        <v>[pt]Umsatz (in Euro)</v>
      </c>
      <c r="K317" s="460" t="str">
        <f t="shared" si="14"/>
        <v>[gr]Umsatz (in Euro)</v>
      </c>
    </row>
    <row r="318" spans="4:11" ht="28.5" customHeight="1">
      <c r="D318" s="459" t="str">
        <f t="shared" si="15"/>
        <v>Are your customers mainly other companies?</v>
      </c>
      <c r="E318" s="460" t="s">
        <v>1874</v>
      </c>
      <c r="F318" s="460" t="s">
        <v>1875</v>
      </c>
      <c r="G318" s="466" t="s">
        <v>1876</v>
      </c>
      <c r="H318" s="460" t="s">
        <v>1877</v>
      </c>
      <c r="I318" s="460" t="str">
        <f t="shared" si="12"/>
        <v>[fr]Haben Sie nahezu ausschließlich Unternehmen als Kunden</v>
      </c>
      <c r="J318" s="460" t="str">
        <f t="shared" si="13"/>
        <v>[pt]Haben Sie nahezu ausschließlich Unternehmen als Kunden</v>
      </c>
      <c r="K318" s="460" t="str">
        <f t="shared" si="14"/>
        <v>[gr]Haben Sie nahezu ausschließlich Unternehmen als Kunden</v>
      </c>
    </row>
    <row r="319" spans="4:11" ht="41.85" customHeight="1">
      <c r="D319" s="459" t="str">
        <f t="shared" si="15"/>
        <v>Enter the 3 most important industry sectors which your company is active in, including a rough share of turnover</v>
      </c>
      <c r="E319" s="460" t="s">
        <v>1878</v>
      </c>
      <c r="F319" s="460" t="s">
        <v>1879</v>
      </c>
      <c r="G319" s="466" t="s">
        <v>1880</v>
      </c>
      <c r="H319" s="460" t="s">
        <v>1881</v>
      </c>
      <c r="I319" s="460" t="str">
        <f t="shared" si="12"/>
        <v>[fr]Tragen Sie nachstehend, bitte die 3 wichtigsten Branchen ein, in denen Ihr Unternehmen tätig ist, inklusive ungefährem Umsatzanteil</v>
      </c>
      <c r="J319" s="460" t="str">
        <f t="shared" si="13"/>
        <v>[pt]Tragen Sie nachstehend, bitte die 3 wichtigsten Branchen ein, in denen Ihr Unternehmen tätig ist, inklusive ungefährem Umsatzanteil</v>
      </c>
      <c r="K319" s="460" t="str">
        <f t="shared" si="14"/>
        <v>[gr]Tragen Sie nachstehend, bitte die 3 wichtigsten Branchen ein, in denen Ihr Unternehmen tätig ist, inklusive ungefährem Umsatzanteil</v>
      </c>
    </row>
    <row r="320" spans="4:11" ht="15.75" customHeight="1">
      <c r="D320" s="459" t="str">
        <f t="shared" si="15"/>
        <v>Industry sector</v>
      </c>
      <c r="E320" s="460" t="s">
        <v>1799</v>
      </c>
      <c r="F320" s="460" t="s">
        <v>1800</v>
      </c>
      <c r="G320" s="466" t="s">
        <v>1801</v>
      </c>
      <c r="H320" s="460" t="s">
        <v>1802</v>
      </c>
      <c r="I320" s="460" t="str">
        <f t="shared" si="12"/>
        <v>[fr]Branche</v>
      </c>
      <c r="J320" s="460" t="str">
        <f t="shared" si="13"/>
        <v>[pt]Branche</v>
      </c>
      <c r="K320" s="460" t="str">
        <f t="shared" si="14"/>
        <v>[gr]Branche</v>
      </c>
    </row>
    <row r="321" spans="4:11" ht="15.75" customHeight="1">
      <c r="D321" s="459" t="str">
        <f t="shared" si="15"/>
        <v>Description</v>
      </c>
      <c r="E321" s="460" t="s">
        <v>1803</v>
      </c>
      <c r="F321" s="460" t="s">
        <v>1882</v>
      </c>
      <c r="G321" s="466" t="s">
        <v>1804</v>
      </c>
      <c r="H321" s="460" t="s">
        <v>1805</v>
      </c>
      <c r="I321" s="460" t="str">
        <f t="shared" si="12"/>
        <v>[fr]Beschreibung</v>
      </c>
      <c r="J321" s="460" t="str">
        <f t="shared" si="13"/>
        <v>[pt]Beschreibung</v>
      </c>
      <c r="K321" s="460" t="str">
        <f t="shared" si="14"/>
        <v>[gr]Beschreibung</v>
      </c>
    </row>
    <row r="322" spans="4:11" ht="15.75" customHeight="1">
      <c r="D322" s="459" t="str">
        <f t="shared" si="15"/>
        <v>% Amount of total turnover</v>
      </c>
      <c r="E322" s="460" t="s">
        <v>1883</v>
      </c>
      <c r="F322" s="460" t="s">
        <v>1884</v>
      </c>
      <c r="G322" s="466" t="s">
        <v>1885</v>
      </c>
      <c r="H322" s="460" t="s">
        <v>1886</v>
      </c>
      <c r="I322" s="460" t="str">
        <f t="shared" si="12"/>
        <v>[fr]% Anteil am Gesamtumsatz</v>
      </c>
      <c r="J322" s="460" t="str">
        <f t="shared" si="13"/>
        <v>[pt]% Anteil am Gesamtumsatz</v>
      </c>
      <c r="K322" s="460" t="str">
        <f t="shared" si="14"/>
        <v>[gr]% Anteil am Gesamtumsatz</v>
      </c>
    </row>
    <row r="323" spans="4:11" ht="15.75" customHeight="1">
      <c r="D323" s="459" t="str">
        <f t="shared" si="15"/>
        <v>Company size</v>
      </c>
      <c r="E323" s="460" t="s">
        <v>1887</v>
      </c>
      <c r="F323" s="460" t="s">
        <v>1888</v>
      </c>
      <c r="G323" s="466" t="s">
        <v>1889</v>
      </c>
      <c r="H323" s="460" t="s">
        <v>1890</v>
      </c>
      <c r="I323" s="460" t="str">
        <f t="shared" si="12"/>
        <v xml:space="preserve">[fr]Unternehmensgrösse </v>
      </c>
      <c r="J323" s="460" t="str">
        <f t="shared" si="13"/>
        <v xml:space="preserve">[pt]Unternehmensgrösse </v>
      </c>
      <c r="K323" s="460" t="str">
        <f t="shared" si="14"/>
        <v xml:space="preserve">[gr]Unternehmensgrösse </v>
      </c>
    </row>
    <row r="324" spans="4:11" ht="15.75" customHeight="1">
      <c r="D324" s="459" t="str">
        <f t="shared" si="15"/>
        <v>Micro-business</v>
      </c>
      <c r="E324" s="460" t="s">
        <v>1891</v>
      </c>
      <c r="F324" s="460" t="s">
        <v>1892</v>
      </c>
      <c r="G324" s="466" t="s">
        <v>1893</v>
      </c>
      <c r="H324" s="460" t="s">
        <v>1894</v>
      </c>
      <c r="I324" s="460" t="str">
        <f t="shared" si="12"/>
        <v>[fr]Kleinstunternehmen</v>
      </c>
      <c r="J324" s="460" t="str">
        <f t="shared" si="13"/>
        <v>[pt]Kleinstunternehmen</v>
      </c>
      <c r="K324" s="460" t="str">
        <f t="shared" si="14"/>
        <v>[gr]Kleinstunternehmen</v>
      </c>
    </row>
    <row r="325" spans="4:11" ht="15.75" customHeight="1">
      <c r="D325" s="459" t="str">
        <f t="shared" si="15"/>
        <v>Small business</v>
      </c>
      <c r="E325" s="460" t="s">
        <v>1895</v>
      </c>
      <c r="F325" s="460" t="s">
        <v>1896</v>
      </c>
      <c r="G325" s="466" t="s">
        <v>1897</v>
      </c>
      <c r="H325" s="460" t="s">
        <v>1898</v>
      </c>
      <c r="I325" s="460" t="str">
        <f t="shared" si="12"/>
        <v>[fr]Kleinunternehmen</v>
      </c>
      <c r="J325" s="460" t="str">
        <f t="shared" si="13"/>
        <v>[pt]Kleinunternehmen</v>
      </c>
      <c r="K325" s="460" t="str">
        <f t="shared" si="14"/>
        <v>[gr]Kleinunternehmen</v>
      </c>
    </row>
    <row r="326" spans="4:11" ht="15.75" customHeight="1">
      <c r="D326" s="459" t="str">
        <f t="shared" si="15"/>
        <v>Medium business</v>
      </c>
      <c r="E326" s="460" t="s">
        <v>1899</v>
      </c>
      <c r="F326" s="460" t="s">
        <v>1900</v>
      </c>
      <c r="G326" s="466" t="s">
        <v>1901</v>
      </c>
      <c r="H326" s="460" t="s">
        <v>1902</v>
      </c>
      <c r="I326" s="460" t="str">
        <f t="shared" si="12"/>
        <v>[fr]Mittleres Unternehmen</v>
      </c>
      <c r="J326" s="460" t="str">
        <f t="shared" si="13"/>
        <v>[pt]Mittleres Unternehmen</v>
      </c>
      <c r="K326" s="460" t="str">
        <f t="shared" si="14"/>
        <v>[gr]Mittleres Unternehmen</v>
      </c>
    </row>
    <row r="327" spans="4:11" ht="15.75" customHeight="1">
      <c r="D327" s="459" t="str">
        <f t="shared" si="15"/>
        <v>Large business</v>
      </c>
      <c r="E327" s="460" t="s">
        <v>1903</v>
      </c>
      <c r="F327" s="460" t="s">
        <v>1904</v>
      </c>
      <c r="G327" s="466" t="s">
        <v>1905</v>
      </c>
      <c r="H327" s="460" t="s">
        <v>1906</v>
      </c>
      <c r="I327" s="460" t="str">
        <f t="shared" si="12"/>
        <v>[fr]Grossunternehmen</v>
      </c>
      <c r="J327" s="460" t="str">
        <f t="shared" si="13"/>
        <v>[pt]Grossunternehmen</v>
      </c>
      <c r="K327" s="460" t="str">
        <f t="shared" si="14"/>
        <v>[gr]Grossunternehmen</v>
      </c>
    </row>
    <row r="328" spans="4:11" ht="28.5" customHeight="1">
      <c r="D328" s="459" t="str">
        <f t="shared" si="15"/>
        <v xml:space="preserve">[en]In diesem Tabellenblatt wird die Gemeinwohlbilanz berechnet. </v>
      </c>
      <c r="E328" s="465" t="s">
        <v>1907</v>
      </c>
      <c r="F328" s="460" t="s">
        <v>1908</v>
      </c>
      <c r="G328" s="460" t="str">
        <f>"[en]"&amp;E328</f>
        <v xml:space="preserve">[en]In diesem Tabellenblatt wird die Gemeinwohlbilanz berechnet. </v>
      </c>
      <c r="H328" s="460" t="s">
        <v>1909</v>
      </c>
      <c r="I328" s="460" t="str">
        <f t="shared" si="12"/>
        <v xml:space="preserve">[fr]In diesem Tabellenblatt wird die Gemeinwohlbilanz berechnet. </v>
      </c>
      <c r="J328" s="460" t="str">
        <f t="shared" si="13"/>
        <v xml:space="preserve">[pt]In diesem Tabellenblatt wird die Gemeinwohlbilanz berechnet. </v>
      </c>
      <c r="K328" s="460" t="str">
        <f t="shared" si="14"/>
        <v xml:space="preserve">[gr]In diesem Tabellenblatt wird die Gemeinwohlbilanz berechnet. </v>
      </c>
    </row>
    <row r="329" spans="4:11" ht="28.5" customHeight="1">
      <c r="D329" s="459" t="str">
        <f t="shared" si="15"/>
        <v>Introduce value between 0 and 10</v>
      </c>
      <c r="E329" s="465" t="s">
        <v>1910</v>
      </c>
      <c r="F329" s="527" t="s">
        <v>1911</v>
      </c>
      <c r="G329" s="476" t="s">
        <v>3195</v>
      </c>
      <c r="H329" s="460" t="s">
        <v>1912</v>
      </c>
      <c r="I329" s="460" t="str">
        <f t="shared" si="12"/>
        <v>[fr]Skalenwert eingeben: Wert muss im Bereich von 0 bis 10 liegen.</v>
      </c>
      <c r="J329" s="460" t="str">
        <f t="shared" si="13"/>
        <v>[pt]Skalenwert eingeben: Wert muss im Bereich von 0 bis 10 liegen.</v>
      </c>
      <c r="K329" s="460" t="str">
        <f t="shared" si="14"/>
        <v>[gr]Skalenwert eingeben: Wert muss im Bereich von 0 bis 10 liegen.</v>
      </c>
    </row>
    <row r="330" spans="4:11" ht="28.5" customHeight="1">
      <c r="D330" s="459" t="str">
        <f t="shared" si="15"/>
        <v>Introduce negative points between 0 and -200</v>
      </c>
      <c r="E330" s="465" t="s">
        <v>1913</v>
      </c>
      <c r="F330" s="527" t="s">
        <v>1914</v>
      </c>
      <c r="G330" s="476" t="s">
        <v>3196</v>
      </c>
      <c r="H330" s="460" t="s">
        <v>1915</v>
      </c>
      <c r="I330" s="460" t="str">
        <f t="shared" si="12"/>
        <v>[fr]Negativpunkte eingeben: Werte müssen im Bereich von -200 bis 0 liegen.</v>
      </c>
      <c r="J330" s="460" t="str">
        <f t="shared" si="13"/>
        <v>[pt]Negativpunkte eingeben: Werte müssen im Bereich von -200 bis 0 liegen.</v>
      </c>
      <c r="K330" s="460" t="str">
        <f t="shared" si="14"/>
        <v>[gr]Negativpunkte eingeben: Werte müssen im Bereich von -200 bis 0 liegen.</v>
      </c>
    </row>
    <row r="331" spans="4:11" ht="15.75" customHeight="1">
      <c r="D331" s="459" t="str">
        <f t="shared" si="15"/>
        <v>[en]globaler Durchschnitt</v>
      </c>
      <c r="E331" s="528" t="s">
        <v>1916</v>
      </c>
      <c r="F331" s="460" t="s">
        <v>1917</v>
      </c>
      <c r="G331" s="466" t="str">
        <f>"[en]"&amp;E331</f>
        <v>[en]globaler Durchschnitt</v>
      </c>
      <c r="H331" s="460" t="s">
        <v>1918</v>
      </c>
      <c r="I331" s="460" t="str">
        <f t="shared" si="12"/>
        <v>[fr]globaler Durchschnitt</v>
      </c>
      <c r="J331" s="460" t="str">
        <f t="shared" si="13"/>
        <v>[pt]globaler Durchschnitt</v>
      </c>
      <c r="K331" s="460" t="str">
        <f t="shared" si="14"/>
        <v>[gr]globaler Durchschnitt</v>
      </c>
    </row>
    <row r="332" spans="4:11" ht="15.75" customHeight="1">
      <c r="D332" s="459" t="str">
        <f t="shared" si="15"/>
        <v>Please choose</v>
      </c>
      <c r="E332" s="528" t="s">
        <v>1919</v>
      </c>
      <c r="F332" s="460" t="s">
        <v>1471</v>
      </c>
      <c r="G332" s="466" t="s">
        <v>1472</v>
      </c>
      <c r="H332" s="460" t="s">
        <v>1920</v>
      </c>
      <c r="I332" s="460" t="str">
        <f t="shared" si="12"/>
        <v>[fr]Bitte auswählen</v>
      </c>
      <c r="J332" s="460" t="str">
        <f t="shared" si="13"/>
        <v>[pt]Bitte auswählen</v>
      </c>
      <c r="K332" s="460" t="str">
        <f t="shared" si="14"/>
        <v>[gr]Bitte auswählen</v>
      </c>
    </row>
    <row r="333" spans="4:11" ht="16.350000000000001" customHeight="1">
      <c r="D333" s="459" t="str">
        <f t="shared" si="15"/>
        <v>[en]Afrika</v>
      </c>
      <c r="E333" s="528" t="s">
        <v>1921</v>
      </c>
      <c r="F333" s="460" t="s">
        <v>251</v>
      </c>
      <c r="G333" s="466" t="str">
        <f t="shared" ref="G333:G338" si="16">"[en]"&amp;E333</f>
        <v>[en]Afrika</v>
      </c>
      <c r="H333" s="460" t="s">
        <v>1922</v>
      </c>
      <c r="I333" s="460" t="str">
        <f t="shared" si="12"/>
        <v>[fr]Afrika</v>
      </c>
      <c r="J333" s="460" t="str">
        <f t="shared" si="13"/>
        <v>[pt]Afrika</v>
      </c>
      <c r="K333" s="460" t="str">
        <f t="shared" si="14"/>
        <v>[gr]Afrika</v>
      </c>
    </row>
    <row r="334" spans="4:11" ht="16.350000000000001" customHeight="1">
      <c r="D334" s="459" t="str">
        <f t="shared" si="15"/>
        <v>[en]Nord-Afrika und Mittlere Osten</v>
      </c>
      <c r="E334" s="528" t="s">
        <v>1923</v>
      </c>
      <c r="F334" s="460" t="s">
        <v>1924</v>
      </c>
      <c r="G334" s="466" t="str">
        <f t="shared" si="16"/>
        <v>[en]Nord-Afrika und Mittlere Osten</v>
      </c>
      <c r="H334" s="460" t="s">
        <v>1925</v>
      </c>
      <c r="I334" s="460" t="str">
        <f t="shared" si="12"/>
        <v>[fr]Nord-Afrika und Mittlere Osten</v>
      </c>
      <c r="J334" s="460" t="str">
        <f t="shared" si="13"/>
        <v>[pt]Nord-Afrika und Mittlere Osten</v>
      </c>
      <c r="K334" s="460" t="str">
        <f t="shared" si="14"/>
        <v>[gr]Nord-Afrika und Mittlere Osten</v>
      </c>
    </row>
    <row r="335" spans="4:11" ht="16.350000000000001" customHeight="1">
      <c r="D335" s="459" t="str">
        <f t="shared" si="15"/>
        <v>[en]Latein-Amerika</v>
      </c>
      <c r="E335" s="528" t="s">
        <v>1926</v>
      </c>
      <c r="F335" s="460" t="s">
        <v>1927</v>
      </c>
      <c r="G335" s="466" t="str">
        <f t="shared" si="16"/>
        <v>[en]Latein-Amerika</v>
      </c>
      <c r="H335" s="460" t="s">
        <v>1928</v>
      </c>
      <c r="I335" s="460" t="str">
        <f t="shared" si="12"/>
        <v>[fr]Latein-Amerika</v>
      </c>
      <c r="J335" s="460" t="str">
        <f t="shared" si="13"/>
        <v>[pt]Latein-Amerika</v>
      </c>
      <c r="K335" s="460" t="str">
        <f t="shared" si="14"/>
        <v>[gr]Latein-Amerika</v>
      </c>
    </row>
    <row r="336" spans="4:11" ht="16.350000000000001" customHeight="1">
      <c r="D336" s="459" t="str">
        <f t="shared" si="15"/>
        <v>[en]Nord-Amerika &amp; Ozeanien</v>
      </c>
      <c r="E336" s="528" t="s">
        <v>1929</v>
      </c>
      <c r="F336" s="460" t="s">
        <v>1930</v>
      </c>
      <c r="G336" s="466" t="str">
        <f t="shared" si="16"/>
        <v>[en]Nord-Amerika &amp; Ozeanien</v>
      </c>
      <c r="H336" s="460" t="s">
        <v>1931</v>
      </c>
      <c r="I336" s="460" t="str">
        <f t="shared" si="12"/>
        <v>[fr]Nord-Amerika &amp; Ozeanien</v>
      </c>
      <c r="J336" s="460" t="str">
        <f t="shared" si="13"/>
        <v>[pt]Nord-Amerika &amp; Ozeanien</v>
      </c>
      <c r="K336" s="460" t="str">
        <f t="shared" si="14"/>
        <v>[gr]Nord-Amerika &amp; Ozeanien</v>
      </c>
    </row>
    <row r="337" spans="1:13" ht="16.350000000000001" customHeight="1">
      <c r="D337" s="459" t="str">
        <f t="shared" si="15"/>
        <v>[en]Asien</v>
      </c>
      <c r="E337" s="528" t="s">
        <v>1932</v>
      </c>
      <c r="F337" s="460" t="s">
        <v>248</v>
      </c>
      <c r="G337" s="466" t="str">
        <f t="shared" si="16"/>
        <v>[en]Asien</v>
      </c>
      <c r="H337" s="460" t="s">
        <v>248</v>
      </c>
      <c r="I337" s="460" t="str">
        <f t="shared" si="12"/>
        <v>[fr]Asien</v>
      </c>
      <c r="J337" s="460" t="str">
        <f t="shared" si="13"/>
        <v>[pt]Asien</v>
      </c>
      <c r="K337" s="460" t="str">
        <f t="shared" si="14"/>
        <v>[gr]Asien</v>
      </c>
    </row>
    <row r="338" spans="1:13" ht="15.75" customHeight="1">
      <c r="D338" s="459" t="str">
        <f t="shared" si="15"/>
        <v>[en]Europa</v>
      </c>
      <c r="E338" s="528" t="s">
        <v>1933</v>
      </c>
      <c r="F338" s="460" t="s">
        <v>1933</v>
      </c>
      <c r="G338" s="466" t="str">
        <f t="shared" si="16"/>
        <v>[en]Europa</v>
      </c>
      <c r="H338" s="460" t="s">
        <v>1933</v>
      </c>
      <c r="I338" s="460" t="str">
        <f t="shared" si="12"/>
        <v>[fr]Europa</v>
      </c>
      <c r="J338" s="460" t="str">
        <f t="shared" si="13"/>
        <v>[pt]Europa</v>
      </c>
      <c r="K338" s="460" t="str">
        <f t="shared" si="14"/>
        <v>[gr]Europa</v>
      </c>
    </row>
    <row r="339" spans="1:13" ht="15.75" customHeight="1">
      <c r="A339" s="529" t="s">
        <v>246</v>
      </c>
      <c r="B339" s="480" t="s">
        <v>1934</v>
      </c>
      <c r="C339" s="529" t="s">
        <v>1935</v>
      </c>
      <c r="D339" s="459" t="str">
        <f t="shared" ref="D339:D554" si="17">A339&amp;" "&amp;HLOOKUP($C$1,$E$1:$X$4910,ROW(D339))</f>
        <v xml:space="preserve">ABW Aruba </v>
      </c>
      <c r="E339" s="530" t="s">
        <v>243</v>
      </c>
      <c r="F339" s="460" t="s">
        <v>1936</v>
      </c>
      <c r="G339" s="466" t="s">
        <v>1936</v>
      </c>
      <c r="H339" s="460" t="s">
        <v>243</v>
      </c>
      <c r="I339" s="460" t="s">
        <v>243</v>
      </c>
      <c r="J339" s="460" t="str">
        <f t="shared" si="13"/>
        <v>[pt]Aruba</v>
      </c>
      <c r="K339" s="460" t="str">
        <f t="shared" si="14"/>
        <v>[gr]Aruba</v>
      </c>
      <c r="L339" s="531" t="s">
        <v>246</v>
      </c>
      <c r="M339" s="461" t="str">
        <f t="shared" ref="M339:M561" si="18">IF(L339=A339,"","nix")</f>
        <v/>
      </c>
    </row>
    <row r="340" spans="1:13" ht="15.75" customHeight="1">
      <c r="A340" s="529" t="s">
        <v>249</v>
      </c>
      <c r="B340" s="480" t="s">
        <v>1937</v>
      </c>
      <c r="C340" s="529" t="s">
        <v>1938</v>
      </c>
      <c r="D340" s="459" t="str">
        <f t="shared" si="17"/>
        <v xml:space="preserve">AFG Afghanistan </v>
      </c>
      <c r="E340" s="530" t="s">
        <v>247</v>
      </c>
      <c r="F340" s="460" t="s">
        <v>1939</v>
      </c>
      <c r="G340" s="466" t="s">
        <v>1939</v>
      </c>
      <c r="H340" s="460" t="s">
        <v>1940</v>
      </c>
      <c r="I340" s="460" t="s">
        <v>247</v>
      </c>
      <c r="J340" s="460" t="str">
        <f t="shared" si="13"/>
        <v>[pt]Afghanistan</v>
      </c>
      <c r="K340" s="460" t="str">
        <f t="shared" si="14"/>
        <v>[gr]Afghanistan</v>
      </c>
      <c r="L340" s="531" t="s">
        <v>249</v>
      </c>
      <c r="M340" s="461" t="str">
        <f t="shared" si="18"/>
        <v/>
      </c>
    </row>
    <row r="341" spans="1:13" ht="15.75" customHeight="1">
      <c r="A341" s="529" t="s">
        <v>252</v>
      </c>
      <c r="B341" s="480" t="s">
        <v>1941</v>
      </c>
      <c r="C341" s="529" t="s">
        <v>1942</v>
      </c>
      <c r="D341" s="459" t="str">
        <f t="shared" si="17"/>
        <v xml:space="preserve">AGO Angola </v>
      </c>
      <c r="E341" s="530" t="s">
        <v>250</v>
      </c>
      <c r="F341" s="460" t="s">
        <v>1943</v>
      </c>
      <c r="G341" s="466" t="s">
        <v>1943</v>
      </c>
      <c r="H341" s="460" t="s">
        <v>250</v>
      </c>
      <c r="I341" s="460" t="s">
        <v>250</v>
      </c>
      <c r="J341" s="460" t="str">
        <f t="shared" si="13"/>
        <v>[pt]Angola</v>
      </c>
      <c r="K341" s="460" t="str">
        <f t="shared" si="14"/>
        <v>[gr]Angola</v>
      </c>
      <c r="L341" s="531" t="s">
        <v>252</v>
      </c>
      <c r="M341" s="461" t="str">
        <f t="shared" si="18"/>
        <v/>
      </c>
    </row>
    <row r="342" spans="1:13" ht="15.75" customHeight="1">
      <c r="A342" s="529" t="s">
        <v>255</v>
      </c>
      <c r="B342" s="480" t="s">
        <v>1944</v>
      </c>
      <c r="C342" s="529" t="s">
        <v>1945</v>
      </c>
      <c r="D342" s="459" t="str">
        <f t="shared" si="17"/>
        <v xml:space="preserve">ALB Albania </v>
      </c>
      <c r="E342" s="530" t="s">
        <v>1946</v>
      </c>
      <c r="F342" s="460" t="s">
        <v>1947</v>
      </c>
      <c r="G342" s="466" t="s">
        <v>1947</v>
      </c>
      <c r="H342" s="460" t="s">
        <v>253</v>
      </c>
      <c r="I342" s="460" t="s">
        <v>1948</v>
      </c>
      <c r="J342" s="460" t="str">
        <f t="shared" si="13"/>
        <v>[pt]Albanien</v>
      </c>
      <c r="K342" s="460" t="str">
        <f t="shared" si="14"/>
        <v>[gr]Albanien</v>
      </c>
      <c r="L342" s="531" t="s">
        <v>255</v>
      </c>
      <c r="M342" s="461" t="str">
        <f t="shared" si="18"/>
        <v/>
      </c>
    </row>
    <row r="343" spans="1:13" ht="15.75" customHeight="1">
      <c r="A343" s="529" t="s">
        <v>257</v>
      </c>
      <c r="B343" s="480" t="s">
        <v>1949</v>
      </c>
      <c r="C343" s="529" t="s">
        <v>1950</v>
      </c>
      <c r="D343" s="459" t="str">
        <f t="shared" si="17"/>
        <v xml:space="preserve">AND Andorra </v>
      </c>
      <c r="E343" s="530" t="s">
        <v>256</v>
      </c>
      <c r="F343" s="460" t="s">
        <v>1951</v>
      </c>
      <c r="G343" s="466" t="s">
        <v>1951</v>
      </c>
      <c r="H343" s="460" t="s">
        <v>256</v>
      </c>
      <c r="I343" s="460" t="s">
        <v>1952</v>
      </c>
      <c r="J343" s="460" t="str">
        <f t="shared" si="13"/>
        <v>[pt]Andorra</v>
      </c>
      <c r="K343" s="460" t="str">
        <f t="shared" si="14"/>
        <v>[gr]Andorra</v>
      </c>
      <c r="L343" s="531" t="s">
        <v>257</v>
      </c>
      <c r="M343" s="461" t="str">
        <f t="shared" si="18"/>
        <v/>
      </c>
    </row>
    <row r="344" spans="1:13" ht="15.75" customHeight="1">
      <c r="A344" s="529" t="s">
        <v>259</v>
      </c>
      <c r="B344" s="480" t="s">
        <v>1953</v>
      </c>
      <c r="C344" s="529" t="s">
        <v>1954</v>
      </c>
      <c r="D344" s="459" t="str">
        <f t="shared" si="17"/>
        <v xml:space="preserve">ARE United Arab Emirates </v>
      </c>
      <c r="E344" s="530" t="s">
        <v>1955</v>
      </c>
      <c r="F344" s="460" t="s">
        <v>1956</v>
      </c>
      <c r="G344" s="466" t="s">
        <v>1957</v>
      </c>
      <c r="H344" s="460" t="s">
        <v>1958</v>
      </c>
      <c r="I344" s="460" t="s">
        <v>1959</v>
      </c>
      <c r="J344" s="460" t="str">
        <f t="shared" si="13"/>
        <v>[pt]Vereinigte Arabische Emirate</v>
      </c>
      <c r="K344" s="460" t="str">
        <f t="shared" si="14"/>
        <v>[gr]Vereinigte Arabische Emirate</v>
      </c>
      <c r="L344" s="531" t="s">
        <v>259</v>
      </c>
      <c r="M344" s="461" t="str">
        <f t="shared" si="18"/>
        <v/>
      </c>
    </row>
    <row r="345" spans="1:13" ht="15.75" customHeight="1">
      <c r="A345" s="529" t="s">
        <v>261</v>
      </c>
      <c r="B345" s="480" t="s">
        <v>1960</v>
      </c>
      <c r="C345" s="529" t="s">
        <v>1961</v>
      </c>
      <c r="D345" s="459" t="str">
        <f t="shared" si="17"/>
        <v xml:space="preserve">ARG Argentina </v>
      </c>
      <c r="E345" s="530" t="s">
        <v>1962</v>
      </c>
      <c r="F345" s="460" t="s">
        <v>1963</v>
      </c>
      <c r="G345" s="466" t="s">
        <v>1963</v>
      </c>
      <c r="H345" s="460" t="s">
        <v>260</v>
      </c>
      <c r="I345" s="460" t="s">
        <v>1964</v>
      </c>
      <c r="J345" s="460" t="str">
        <f t="shared" si="13"/>
        <v>[pt]Argentinien</v>
      </c>
      <c r="K345" s="460" t="str">
        <f t="shared" si="14"/>
        <v>[gr]Argentinien</v>
      </c>
      <c r="L345" s="531" t="s">
        <v>261</v>
      </c>
      <c r="M345" s="461" t="str">
        <f t="shared" si="18"/>
        <v/>
      </c>
    </row>
    <row r="346" spans="1:13" ht="15.75" customHeight="1">
      <c r="A346" s="529" t="s">
        <v>263</v>
      </c>
      <c r="B346" s="480" t="s">
        <v>1965</v>
      </c>
      <c r="C346" s="529" t="s">
        <v>1966</v>
      </c>
      <c r="D346" s="459" t="str">
        <f t="shared" si="17"/>
        <v xml:space="preserve">ARM Armenia </v>
      </c>
      <c r="E346" s="530" t="s">
        <v>1967</v>
      </c>
      <c r="F346" s="460" t="s">
        <v>1968</v>
      </c>
      <c r="G346" s="466" t="s">
        <v>1968</v>
      </c>
      <c r="H346" s="460" t="s">
        <v>262</v>
      </c>
      <c r="I346" s="460" t="s">
        <v>1969</v>
      </c>
      <c r="J346" s="460" t="str">
        <f t="shared" si="13"/>
        <v>[pt]Armenien</v>
      </c>
      <c r="K346" s="460" t="str">
        <f t="shared" si="14"/>
        <v>[gr]Armenien</v>
      </c>
      <c r="L346" s="531" t="s">
        <v>263</v>
      </c>
      <c r="M346" s="461" t="str">
        <f t="shared" si="18"/>
        <v/>
      </c>
    </row>
    <row r="347" spans="1:13" ht="15.75" customHeight="1">
      <c r="A347" s="529" t="s">
        <v>266</v>
      </c>
      <c r="B347" s="480" t="s">
        <v>1970</v>
      </c>
      <c r="C347" s="529" t="s">
        <v>1971</v>
      </c>
      <c r="D347" s="459" t="str">
        <f t="shared" si="17"/>
        <v xml:space="preserve">ASM American Samoa </v>
      </c>
      <c r="E347" s="530" t="s">
        <v>1972</v>
      </c>
      <c r="F347" s="460" t="s">
        <v>1973</v>
      </c>
      <c r="G347" s="466" t="s">
        <v>1974</v>
      </c>
      <c r="H347" s="460" t="s">
        <v>1975</v>
      </c>
      <c r="I347" s="460" t="s">
        <v>1976</v>
      </c>
      <c r="J347" s="460" t="str">
        <f t="shared" si="13"/>
        <v>[pt]Amerikanisch-Samoa</v>
      </c>
      <c r="K347" s="460" t="str">
        <f t="shared" si="14"/>
        <v>[gr]Amerikanisch-Samoa</v>
      </c>
      <c r="L347" s="531" t="s">
        <v>266</v>
      </c>
      <c r="M347" s="461" t="str">
        <f t="shared" si="18"/>
        <v/>
      </c>
    </row>
    <row r="348" spans="1:13" ht="15.75" customHeight="1">
      <c r="A348" s="529" t="s">
        <v>268</v>
      </c>
      <c r="B348" s="480" t="s">
        <v>1977</v>
      </c>
      <c r="C348" s="529" t="s">
        <v>1978</v>
      </c>
      <c r="D348" s="459" t="str">
        <f t="shared" si="17"/>
        <v xml:space="preserve">ATG Antigua and Barbuda </v>
      </c>
      <c r="E348" s="530" t="s">
        <v>1979</v>
      </c>
      <c r="F348" s="460" t="s">
        <v>1980</v>
      </c>
      <c r="G348" s="466" t="s">
        <v>1981</v>
      </c>
      <c r="H348" s="460" t="s">
        <v>1982</v>
      </c>
      <c r="I348" s="460" t="s">
        <v>1983</v>
      </c>
      <c r="J348" s="460" t="str">
        <f t="shared" si="13"/>
        <v>[pt]Antigua und Barbuda</v>
      </c>
      <c r="K348" s="460" t="str">
        <f t="shared" si="14"/>
        <v>[gr]Antigua und Barbuda</v>
      </c>
      <c r="L348" s="531" t="s">
        <v>268</v>
      </c>
      <c r="M348" s="461" t="str">
        <f t="shared" si="18"/>
        <v/>
      </c>
    </row>
    <row r="349" spans="1:13" ht="15.75" customHeight="1">
      <c r="A349" s="529" t="s">
        <v>270</v>
      </c>
      <c r="B349" s="480" t="s">
        <v>1984</v>
      </c>
      <c r="C349" s="529" t="s">
        <v>1985</v>
      </c>
      <c r="D349" s="459" t="str">
        <f t="shared" si="17"/>
        <v xml:space="preserve">AUS Australia </v>
      </c>
      <c r="E349" s="530" t="s">
        <v>1986</v>
      </c>
      <c r="F349" s="460" t="s">
        <v>1987</v>
      </c>
      <c r="G349" s="466" t="s">
        <v>1987</v>
      </c>
      <c r="H349" s="460" t="s">
        <v>269</v>
      </c>
      <c r="I349" s="460" t="s">
        <v>1988</v>
      </c>
      <c r="J349" s="460" t="str">
        <f t="shared" si="13"/>
        <v>[pt]Australien</v>
      </c>
      <c r="K349" s="460" t="str">
        <f t="shared" si="14"/>
        <v>[gr]Australien</v>
      </c>
      <c r="L349" s="531" t="s">
        <v>270</v>
      </c>
      <c r="M349" s="461" t="str">
        <f t="shared" si="18"/>
        <v/>
      </c>
    </row>
    <row r="350" spans="1:13" ht="15.75" customHeight="1">
      <c r="A350" s="529" t="s">
        <v>272</v>
      </c>
      <c r="B350" s="480" t="s">
        <v>1989</v>
      </c>
      <c r="C350" s="529" t="s">
        <v>1990</v>
      </c>
      <c r="D350" s="459" t="str">
        <f t="shared" si="17"/>
        <v xml:space="preserve">AUT Austria </v>
      </c>
      <c r="E350" s="530" t="s">
        <v>1991</v>
      </c>
      <c r="F350" s="460" t="s">
        <v>1992</v>
      </c>
      <c r="G350" s="466" t="s">
        <v>1992</v>
      </c>
      <c r="H350" s="460" t="s">
        <v>271</v>
      </c>
      <c r="I350" s="460" t="s">
        <v>1993</v>
      </c>
      <c r="J350" s="460" t="str">
        <f t="shared" si="13"/>
        <v>[pt]Österreich</v>
      </c>
      <c r="K350" s="460" t="str">
        <f t="shared" si="14"/>
        <v>[gr]Österreich</v>
      </c>
      <c r="L350" s="531" t="s">
        <v>272</v>
      </c>
      <c r="M350" s="461" t="str">
        <f t="shared" si="18"/>
        <v/>
      </c>
    </row>
    <row r="351" spans="1:13" ht="15.75" customHeight="1">
      <c r="A351" s="529" t="s">
        <v>274</v>
      </c>
      <c r="B351" s="480" t="s">
        <v>1994</v>
      </c>
      <c r="C351" s="529" t="s">
        <v>1995</v>
      </c>
      <c r="D351" s="459" t="str">
        <f t="shared" si="17"/>
        <v xml:space="preserve">AZE Azerbaijan </v>
      </c>
      <c r="E351" s="530" t="s">
        <v>1996</v>
      </c>
      <c r="F351" s="460" t="s">
        <v>1997</v>
      </c>
      <c r="G351" s="466" t="s">
        <v>1998</v>
      </c>
      <c r="H351" s="460" t="s">
        <v>1999</v>
      </c>
      <c r="I351" s="460" t="s">
        <v>2000</v>
      </c>
      <c r="J351" s="460" t="str">
        <f t="shared" si="13"/>
        <v>[pt]Aserbaidschan</v>
      </c>
      <c r="K351" s="460" t="str">
        <f t="shared" si="14"/>
        <v>[gr]Aserbaidschan</v>
      </c>
      <c r="L351" s="531" t="s">
        <v>274</v>
      </c>
      <c r="M351" s="461" t="str">
        <f t="shared" si="18"/>
        <v/>
      </c>
    </row>
    <row r="352" spans="1:13" ht="15.75" customHeight="1">
      <c r="A352" s="529" t="s">
        <v>276</v>
      </c>
      <c r="B352" s="480" t="s">
        <v>2001</v>
      </c>
      <c r="C352" s="529" t="s">
        <v>2002</v>
      </c>
      <c r="D352" s="459" t="str">
        <f t="shared" si="17"/>
        <v xml:space="preserve">BDI Burundi </v>
      </c>
      <c r="E352" s="530" t="s">
        <v>275</v>
      </c>
      <c r="F352" s="460" t="s">
        <v>2003</v>
      </c>
      <c r="G352" s="466" t="s">
        <v>2003</v>
      </c>
      <c r="H352" s="460" t="s">
        <v>275</v>
      </c>
      <c r="I352" s="460" t="s">
        <v>275</v>
      </c>
      <c r="J352" s="460" t="str">
        <f t="shared" si="13"/>
        <v>[pt]Burundi</v>
      </c>
      <c r="K352" s="460" t="str">
        <f t="shared" si="14"/>
        <v>[gr]Burundi</v>
      </c>
      <c r="L352" s="531" t="s">
        <v>276</v>
      </c>
      <c r="M352" s="461" t="str">
        <f t="shared" si="18"/>
        <v/>
      </c>
    </row>
    <row r="353" spans="1:13" ht="15.75" customHeight="1">
      <c r="A353" s="529" t="s">
        <v>278</v>
      </c>
      <c r="B353" s="480" t="s">
        <v>2004</v>
      </c>
      <c r="C353" s="529" t="s">
        <v>2005</v>
      </c>
      <c r="D353" s="459" t="str">
        <f t="shared" si="17"/>
        <v xml:space="preserve">BEL Belgium </v>
      </c>
      <c r="E353" s="530" t="s">
        <v>2006</v>
      </c>
      <c r="F353" s="460" t="s">
        <v>2007</v>
      </c>
      <c r="G353" s="466" t="s">
        <v>2008</v>
      </c>
      <c r="H353" s="460" t="s">
        <v>2009</v>
      </c>
      <c r="I353" s="460" t="s">
        <v>2010</v>
      </c>
      <c r="J353" s="460" t="str">
        <f t="shared" si="13"/>
        <v>[pt]Belgien</v>
      </c>
      <c r="K353" s="460" t="str">
        <f t="shared" si="14"/>
        <v>[gr]Belgien</v>
      </c>
      <c r="L353" s="531" t="s">
        <v>278</v>
      </c>
      <c r="M353" s="461" t="str">
        <f t="shared" si="18"/>
        <v/>
      </c>
    </row>
    <row r="354" spans="1:13" ht="15.75" customHeight="1">
      <c r="A354" s="529" t="s">
        <v>280</v>
      </c>
      <c r="B354" s="480" t="s">
        <v>2011</v>
      </c>
      <c r="C354" s="529" t="s">
        <v>2012</v>
      </c>
      <c r="D354" s="459" t="str">
        <f t="shared" si="17"/>
        <v xml:space="preserve">BEN Benin </v>
      </c>
      <c r="E354" s="530" t="s">
        <v>279</v>
      </c>
      <c r="F354" s="460" t="s">
        <v>2013</v>
      </c>
      <c r="G354" s="466" t="s">
        <v>2013</v>
      </c>
      <c r="H354" s="460" t="s">
        <v>2014</v>
      </c>
      <c r="I354" s="460" t="s">
        <v>2015</v>
      </c>
      <c r="J354" s="460" t="str">
        <f t="shared" si="13"/>
        <v>[pt]Benin</v>
      </c>
      <c r="K354" s="460" t="str">
        <f t="shared" si="14"/>
        <v>[gr]Benin</v>
      </c>
      <c r="L354" s="531" t="s">
        <v>280</v>
      </c>
      <c r="M354" s="461" t="str">
        <f t="shared" si="18"/>
        <v/>
      </c>
    </row>
    <row r="355" spans="1:13" ht="15.75" customHeight="1">
      <c r="A355" s="529" t="s">
        <v>282</v>
      </c>
      <c r="B355" s="480" t="s">
        <v>2016</v>
      </c>
      <c r="C355" s="529" t="s">
        <v>2017</v>
      </c>
      <c r="D355" s="459" t="str">
        <f t="shared" si="17"/>
        <v xml:space="preserve">BFA Burkina Faso </v>
      </c>
      <c r="E355" s="530" t="s">
        <v>281</v>
      </c>
      <c r="F355" s="460" t="s">
        <v>2018</v>
      </c>
      <c r="G355" s="466" t="s">
        <v>2018</v>
      </c>
      <c r="H355" s="460" t="s">
        <v>281</v>
      </c>
      <c r="I355" s="460" t="s">
        <v>281</v>
      </c>
      <c r="J355" s="460" t="str">
        <f t="shared" si="13"/>
        <v>[pt]Burkina Faso</v>
      </c>
      <c r="K355" s="460" t="str">
        <f t="shared" si="14"/>
        <v>[gr]Burkina Faso</v>
      </c>
      <c r="L355" s="531" t="s">
        <v>282</v>
      </c>
      <c r="M355" s="461" t="str">
        <f t="shared" si="18"/>
        <v/>
      </c>
    </row>
    <row r="356" spans="1:13" ht="15.75" customHeight="1">
      <c r="A356" s="529" t="s">
        <v>284</v>
      </c>
      <c r="B356" s="480" t="s">
        <v>2019</v>
      </c>
      <c r="C356" s="529" t="s">
        <v>2020</v>
      </c>
      <c r="D356" s="459" t="str">
        <f t="shared" si="17"/>
        <v xml:space="preserve">BGD Bangladesh </v>
      </c>
      <c r="E356" s="530" t="s">
        <v>2021</v>
      </c>
      <c r="F356" s="460" t="s">
        <v>2022</v>
      </c>
      <c r="G356" s="466" t="s">
        <v>2022</v>
      </c>
      <c r="H356" s="460" t="s">
        <v>2023</v>
      </c>
      <c r="I356" s="460" t="s">
        <v>283</v>
      </c>
      <c r="J356" s="460" t="str">
        <f t="shared" si="13"/>
        <v>[pt]Bangladesch</v>
      </c>
      <c r="K356" s="460" t="str">
        <f t="shared" si="14"/>
        <v>[gr]Bangladesch</v>
      </c>
      <c r="L356" s="531" t="s">
        <v>284</v>
      </c>
      <c r="M356" s="461" t="str">
        <f t="shared" si="18"/>
        <v/>
      </c>
    </row>
    <row r="357" spans="1:13" ht="15.75" customHeight="1">
      <c r="A357" s="529" t="s">
        <v>286</v>
      </c>
      <c r="B357" s="480" t="s">
        <v>2024</v>
      </c>
      <c r="C357" s="529" t="s">
        <v>2025</v>
      </c>
      <c r="D357" s="459" t="str">
        <f t="shared" si="17"/>
        <v xml:space="preserve">BGR Bulgaria </v>
      </c>
      <c r="E357" s="530" t="s">
        <v>2026</v>
      </c>
      <c r="F357" s="460" t="s">
        <v>2027</v>
      </c>
      <c r="G357" s="466" t="s">
        <v>2027</v>
      </c>
      <c r="H357" s="460" t="s">
        <v>285</v>
      </c>
      <c r="I357" s="460" t="s">
        <v>2028</v>
      </c>
      <c r="J357" s="460" t="str">
        <f t="shared" si="13"/>
        <v>[pt]Bulgarien</v>
      </c>
      <c r="K357" s="460" t="str">
        <f t="shared" si="14"/>
        <v>[gr]Bulgarien</v>
      </c>
      <c r="L357" s="531" t="s">
        <v>286</v>
      </c>
      <c r="M357" s="461" t="str">
        <f t="shared" si="18"/>
        <v/>
      </c>
    </row>
    <row r="358" spans="1:13" ht="15.75" customHeight="1">
      <c r="A358" s="529" t="s">
        <v>288</v>
      </c>
      <c r="B358" s="480" t="s">
        <v>2029</v>
      </c>
      <c r="C358" s="529" t="s">
        <v>2030</v>
      </c>
      <c r="D358" s="459" t="str">
        <f t="shared" si="17"/>
        <v xml:space="preserve">BHR Bahrain </v>
      </c>
      <c r="E358" s="530" t="s">
        <v>287</v>
      </c>
      <c r="F358" s="460" t="s">
        <v>2031</v>
      </c>
      <c r="G358" s="466" t="s">
        <v>2031</v>
      </c>
      <c r="H358" s="460" t="s">
        <v>2032</v>
      </c>
      <c r="I358" s="460" t="s">
        <v>2033</v>
      </c>
      <c r="J358" s="460" t="str">
        <f t="shared" si="13"/>
        <v>[pt]Bahrain</v>
      </c>
      <c r="K358" s="460" t="str">
        <f t="shared" si="14"/>
        <v>[gr]Bahrain</v>
      </c>
      <c r="L358" s="531" t="s">
        <v>288</v>
      </c>
      <c r="M358" s="461" t="str">
        <f t="shared" si="18"/>
        <v/>
      </c>
    </row>
    <row r="359" spans="1:13" ht="15.75" customHeight="1">
      <c r="A359" s="529" t="s">
        <v>290</v>
      </c>
      <c r="B359" s="480" t="s">
        <v>2034</v>
      </c>
      <c r="C359" s="529" t="s">
        <v>2035</v>
      </c>
      <c r="D359" s="459" t="str">
        <f t="shared" si="17"/>
        <v xml:space="preserve">BHS Bahamas </v>
      </c>
      <c r="E359" s="530" t="s">
        <v>2036</v>
      </c>
      <c r="F359" s="460" t="s">
        <v>2037</v>
      </c>
      <c r="G359" s="466" t="s">
        <v>2037</v>
      </c>
      <c r="H359" s="460" t="s">
        <v>2036</v>
      </c>
      <c r="I359" s="460" t="s">
        <v>2036</v>
      </c>
      <c r="J359" s="460" t="str">
        <f t="shared" si="13"/>
        <v>[pt]Bahamas</v>
      </c>
      <c r="K359" s="460" t="str">
        <f t="shared" si="14"/>
        <v>[gr]Bahamas</v>
      </c>
      <c r="L359" s="531" t="s">
        <v>290</v>
      </c>
      <c r="M359" s="461" t="str">
        <f t="shared" si="18"/>
        <v/>
      </c>
    </row>
    <row r="360" spans="1:13" ht="15.75" customHeight="1">
      <c r="A360" s="529" t="s">
        <v>292</v>
      </c>
      <c r="B360" s="480" t="s">
        <v>2038</v>
      </c>
      <c r="C360" s="529" t="s">
        <v>2039</v>
      </c>
      <c r="D360" s="459" t="str">
        <f t="shared" si="17"/>
        <v xml:space="preserve">BIH Bosnia and Herzegovina </v>
      </c>
      <c r="E360" s="530" t="s">
        <v>2040</v>
      </c>
      <c r="F360" s="460" t="s">
        <v>2041</v>
      </c>
      <c r="G360" s="466" t="s">
        <v>2042</v>
      </c>
      <c r="H360" s="460" t="s">
        <v>2043</v>
      </c>
      <c r="I360" s="460" t="s">
        <v>2044</v>
      </c>
      <c r="J360" s="460" t="str">
        <f t="shared" si="13"/>
        <v>[pt]Bosnien und Herzegowina</v>
      </c>
      <c r="K360" s="460" t="str">
        <f t="shared" si="14"/>
        <v>[gr]Bosnien und Herzegowina</v>
      </c>
      <c r="L360" s="531" t="s">
        <v>292</v>
      </c>
      <c r="M360" s="461" t="str">
        <f t="shared" si="18"/>
        <v/>
      </c>
    </row>
    <row r="361" spans="1:13" ht="15.75" customHeight="1">
      <c r="A361" s="529" t="s">
        <v>294</v>
      </c>
      <c r="B361" s="480" t="s">
        <v>2045</v>
      </c>
      <c r="C361" s="529" t="s">
        <v>2046</v>
      </c>
      <c r="D361" s="459" t="str">
        <f t="shared" si="17"/>
        <v xml:space="preserve">BLR Belarus </v>
      </c>
      <c r="E361" s="530" t="s">
        <v>293</v>
      </c>
      <c r="F361" s="460" t="s">
        <v>2047</v>
      </c>
      <c r="G361" s="466" t="s">
        <v>2048</v>
      </c>
      <c r="H361" s="460" t="s">
        <v>2049</v>
      </c>
      <c r="I361" s="460" t="s">
        <v>2050</v>
      </c>
      <c r="J361" s="460" t="str">
        <f t="shared" si="13"/>
        <v>[pt]Belarus</v>
      </c>
      <c r="K361" s="460" t="str">
        <f t="shared" si="14"/>
        <v>[gr]Belarus</v>
      </c>
      <c r="L361" s="531" t="s">
        <v>294</v>
      </c>
      <c r="M361" s="461" t="str">
        <f t="shared" si="18"/>
        <v/>
      </c>
    </row>
    <row r="362" spans="1:13" ht="15.75" customHeight="1">
      <c r="A362" s="529" t="s">
        <v>296</v>
      </c>
      <c r="B362" s="480" t="s">
        <v>2051</v>
      </c>
      <c r="C362" s="529" t="s">
        <v>2052</v>
      </c>
      <c r="D362" s="459" t="str">
        <f t="shared" si="17"/>
        <v xml:space="preserve">BLZ Belize </v>
      </c>
      <c r="E362" s="530" t="s">
        <v>295</v>
      </c>
      <c r="F362" s="460" t="s">
        <v>2053</v>
      </c>
      <c r="G362" s="466" t="s">
        <v>2053</v>
      </c>
      <c r="H362" s="460" t="s">
        <v>2054</v>
      </c>
      <c r="I362" s="460" t="s">
        <v>295</v>
      </c>
      <c r="J362" s="460" t="str">
        <f t="shared" si="13"/>
        <v>[pt]Belize</v>
      </c>
      <c r="K362" s="460" t="str">
        <f t="shared" si="14"/>
        <v>[gr]Belize</v>
      </c>
      <c r="L362" s="531" t="s">
        <v>296</v>
      </c>
      <c r="M362" s="461" t="str">
        <f t="shared" si="18"/>
        <v/>
      </c>
    </row>
    <row r="363" spans="1:13" ht="15.75" customHeight="1">
      <c r="A363" s="529" t="s">
        <v>298</v>
      </c>
      <c r="B363" s="480" t="s">
        <v>2055</v>
      </c>
      <c r="C363" s="529" t="s">
        <v>2056</v>
      </c>
      <c r="D363" s="459" t="str">
        <f t="shared" si="17"/>
        <v xml:space="preserve">BMU Bermuda </v>
      </c>
      <c r="E363" s="530" t="s">
        <v>297</v>
      </c>
      <c r="F363" s="460" t="s">
        <v>2057</v>
      </c>
      <c r="G363" s="466" t="s">
        <v>2057</v>
      </c>
      <c r="H363" s="460" t="s">
        <v>2058</v>
      </c>
      <c r="I363" s="460" t="s">
        <v>2059</v>
      </c>
      <c r="J363" s="460" t="str">
        <f t="shared" si="13"/>
        <v>[pt]Bermuda</v>
      </c>
      <c r="K363" s="460" t="str">
        <f t="shared" si="14"/>
        <v>[gr]Bermuda</v>
      </c>
      <c r="L363" s="531" t="s">
        <v>298</v>
      </c>
      <c r="M363" s="461" t="str">
        <f t="shared" si="18"/>
        <v/>
      </c>
    </row>
    <row r="364" spans="1:13" ht="15.75" customHeight="1">
      <c r="A364" s="529" t="s">
        <v>300</v>
      </c>
      <c r="B364" s="480" t="s">
        <v>2060</v>
      </c>
      <c r="C364" s="529" t="s">
        <v>2061</v>
      </c>
      <c r="D364" s="459" t="str">
        <f t="shared" si="17"/>
        <v xml:space="preserve">BOL Bolivia, Plurinational State of </v>
      </c>
      <c r="E364" s="530" t="s">
        <v>2062</v>
      </c>
      <c r="F364" s="460" t="s">
        <v>2063</v>
      </c>
      <c r="G364" s="466" t="s">
        <v>2064</v>
      </c>
      <c r="H364" s="460" t="s">
        <v>299</v>
      </c>
      <c r="I364" s="460" t="s">
        <v>2065</v>
      </c>
      <c r="J364" s="460" t="str">
        <f t="shared" si="13"/>
        <v>[pt]Bolivien</v>
      </c>
      <c r="K364" s="460" t="str">
        <f t="shared" si="14"/>
        <v>[gr]Bolivien</v>
      </c>
      <c r="L364" s="531" t="s">
        <v>300</v>
      </c>
      <c r="M364" s="461" t="str">
        <f t="shared" si="18"/>
        <v/>
      </c>
    </row>
    <row r="365" spans="1:13" ht="15.75" customHeight="1">
      <c r="A365" s="529" t="s">
        <v>302</v>
      </c>
      <c r="B365" s="480" t="s">
        <v>2066</v>
      </c>
      <c r="C365" s="529" t="s">
        <v>2067</v>
      </c>
      <c r="D365" s="459" t="str">
        <f t="shared" si="17"/>
        <v xml:space="preserve">BRA Brazil </v>
      </c>
      <c r="E365" s="530" t="s">
        <v>2068</v>
      </c>
      <c r="F365" s="460" t="s">
        <v>2069</v>
      </c>
      <c r="G365" s="466" t="s">
        <v>2070</v>
      </c>
      <c r="H365" s="460" t="s">
        <v>2071</v>
      </c>
      <c r="I365" s="460" t="s">
        <v>2072</v>
      </c>
      <c r="J365" s="460" t="str">
        <f t="shared" si="13"/>
        <v>[pt]Brasilien</v>
      </c>
      <c r="K365" s="460" t="str">
        <f t="shared" si="14"/>
        <v>[gr]Brasilien</v>
      </c>
      <c r="L365" s="531" t="s">
        <v>302</v>
      </c>
      <c r="M365" s="461" t="str">
        <f t="shared" si="18"/>
        <v/>
      </c>
    </row>
    <row r="366" spans="1:13" ht="15.75" customHeight="1">
      <c r="A366" s="529" t="s">
        <v>304</v>
      </c>
      <c r="B366" s="480" t="s">
        <v>2073</v>
      </c>
      <c r="C366" s="529" t="s">
        <v>2074</v>
      </c>
      <c r="D366" s="459" t="str">
        <f t="shared" si="17"/>
        <v xml:space="preserve">BRB Barbados </v>
      </c>
      <c r="E366" s="530" t="s">
        <v>303</v>
      </c>
      <c r="F366" s="460" t="s">
        <v>2075</v>
      </c>
      <c r="G366" s="466" t="s">
        <v>2075</v>
      </c>
      <c r="H366" s="460" t="s">
        <v>303</v>
      </c>
      <c r="I366" s="460" t="s">
        <v>2076</v>
      </c>
      <c r="J366" s="460" t="str">
        <f t="shared" si="13"/>
        <v>[pt]Barbados</v>
      </c>
      <c r="K366" s="460" t="str">
        <f t="shared" si="14"/>
        <v>[gr]Barbados</v>
      </c>
      <c r="L366" s="531" t="s">
        <v>304</v>
      </c>
      <c r="M366" s="461" t="str">
        <f t="shared" si="18"/>
        <v/>
      </c>
    </row>
    <row r="367" spans="1:13" ht="15.75" customHeight="1">
      <c r="A367" s="529" t="s">
        <v>306</v>
      </c>
      <c r="B367" s="480" t="s">
        <v>2077</v>
      </c>
      <c r="C367" s="529" t="s">
        <v>2078</v>
      </c>
      <c r="D367" s="459" t="str">
        <f t="shared" si="17"/>
        <v xml:space="preserve">BRN Brunei Darussalam </v>
      </c>
      <c r="E367" s="530" t="s">
        <v>305</v>
      </c>
      <c r="F367" s="460" t="s">
        <v>2079</v>
      </c>
      <c r="G367" s="466" t="s">
        <v>2080</v>
      </c>
      <c r="H367" s="460" t="s">
        <v>2081</v>
      </c>
      <c r="I367" s="460" t="s">
        <v>2082</v>
      </c>
      <c r="J367" s="460" t="str">
        <f t="shared" si="13"/>
        <v>[pt]Brunei Darussalam</v>
      </c>
      <c r="K367" s="460" t="str">
        <f t="shared" si="14"/>
        <v>[gr]Brunei Darussalam</v>
      </c>
      <c r="L367" s="531" t="s">
        <v>306</v>
      </c>
      <c r="M367" s="461" t="str">
        <f t="shared" si="18"/>
        <v/>
      </c>
    </row>
    <row r="368" spans="1:13" ht="15.75" customHeight="1">
      <c r="A368" s="529" t="s">
        <v>308</v>
      </c>
      <c r="B368" s="480" t="s">
        <v>2083</v>
      </c>
      <c r="C368" s="529" t="s">
        <v>2084</v>
      </c>
      <c r="D368" s="459" t="str">
        <f t="shared" si="17"/>
        <v xml:space="preserve">BTN Bhutan </v>
      </c>
      <c r="E368" s="530" t="s">
        <v>307</v>
      </c>
      <c r="F368" s="460" t="s">
        <v>2085</v>
      </c>
      <c r="G368" s="466" t="s">
        <v>2085</v>
      </c>
      <c r="H368" s="460" t="s">
        <v>2086</v>
      </c>
      <c r="I368" s="460" t="s">
        <v>2087</v>
      </c>
      <c r="J368" s="460" t="str">
        <f t="shared" si="13"/>
        <v>[pt]Bhutan</v>
      </c>
      <c r="K368" s="460" t="str">
        <f t="shared" si="14"/>
        <v>[gr]Bhutan</v>
      </c>
      <c r="L368" s="531" t="s">
        <v>308</v>
      </c>
      <c r="M368" s="461" t="str">
        <f t="shared" si="18"/>
        <v/>
      </c>
    </row>
    <row r="369" spans="1:13" ht="15.75" customHeight="1">
      <c r="A369" s="529" t="s">
        <v>310</v>
      </c>
      <c r="B369" s="480" t="s">
        <v>2088</v>
      </c>
      <c r="C369" s="529" t="s">
        <v>2089</v>
      </c>
      <c r="D369" s="459" t="str">
        <f t="shared" si="17"/>
        <v xml:space="preserve">BWA Botswana </v>
      </c>
      <c r="E369" s="530" t="s">
        <v>309</v>
      </c>
      <c r="F369" s="460" t="s">
        <v>2090</v>
      </c>
      <c r="G369" s="466" t="s">
        <v>2090</v>
      </c>
      <c r="H369" s="460" t="s">
        <v>2091</v>
      </c>
      <c r="I369" s="460" t="s">
        <v>309</v>
      </c>
      <c r="J369" s="460" t="str">
        <f t="shared" si="13"/>
        <v>[pt]Botswana</v>
      </c>
      <c r="K369" s="460" t="str">
        <f t="shared" si="14"/>
        <v>[gr]Botswana</v>
      </c>
      <c r="L369" s="531" t="s">
        <v>310</v>
      </c>
      <c r="M369" s="461" t="str">
        <f t="shared" si="18"/>
        <v/>
      </c>
    </row>
    <row r="370" spans="1:13" ht="15.75" customHeight="1">
      <c r="A370" s="529" t="s">
        <v>312</v>
      </c>
      <c r="B370" s="480" t="s">
        <v>2092</v>
      </c>
      <c r="C370" s="529" t="s">
        <v>2093</v>
      </c>
      <c r="D370" s="459" t="str">
        <f t="shared" si="17"/>
        <v xml:space="preserve">CAF Central African Republic </v>
      </c>
      <c r="E370" s="530" t="s">
        <v>2094</v>
      </c>
      <c r="F370" s="460" t="s">
        <v>2095</v>
      </c>
      <c r="G370" s="466" t="s">
        <v>2096</v>
      </c>
      <c r="H370" s="460" t="s">
        <v>2097</v>
      </c>
      <c r="I370" s="460" t="s">
        <v>2098</v>
      </c>
      <c r="J370" s="460" t="str">
        <f t="shared" si="13"/>
        <v>[pt]Zentralafrikanische Republik</v>
      </c>
      <c r="K370" s="460" t="str">
        <f t="shared" si="14"/>
        <v>[gr]Zentralafrikanische Republik</v>
      </c>
      <c r="L370" s="531" t="s">
        <v>312</v>
      </c>
      <c r="M370" s="461" t="str">
        <f t="shared" si="18"/>
        <v/>
      </c>
    </row>
    <row r="371" spans="1:13" ht="15.75" customHeight="1">
      <c r="A371" s="529" t="s">
        <v>314</v>
      </c>
      <c r="B371" s="480" t="s">
        <v>2099</v>
      </c>
      <c r="C371" s="529" t="s">
        <v>2100</v>
      </c>
      <c r="D371" s="459" t="str">
        <f t="shared" si="17"/>
        <v xml:space="preserve">CAN Canada </v>
      </c>
      <c r="E371" s="530" t="s">
        <v>2101</v>
      </c>
      <c r="F371" s="460" t="s">
        <v>2102</v>
      </c>
      <c r="G371" s="466" t="s">
        <v>2102</v>
      </c>
      <c r="H371" s="460" t="s">
        <v>2103</v>
      </c>
      <c r="I371" s="460" t="s">
        <v>313</v>
      </c>
      <c r="J371" s="460" t="str">
        <f t="shared" si="13"/>
        <v>[pt]Kanada</v>
      </c>
      <c r="K371" s="460" t="str">
        <f t="shared" si="14"/>
        <v>[gr]Kanada</v>
      </c>
      <c r="L371" s="531" t="s">
        <v>314</v>
      </c>
      <c r="M371" s="461" t="str">
        <f t="shared" si="18"/>
        <v/>
      </c>
    </row>
    <row r="372" spans="1:13" ht="15.75" customHeight="1">
      <c r="A372" s="529" t="s">
        <v>316</v>
      </c>
      <c r="B372" s="480" t="s">
        <v>2104</v>
      </c>
      <c r="C372" s="529" t="s">
        <v>2105</v>
      </c>
      <c r="D372" s="459" t="str">
        <f t="shared" si="17"/>
        <v xml:space="preserve">CHE Switzerland </v>
      </c>
      <c r="E372" s="530" t="s">
        <v>2106</v>
      </c>
      <c r="F372" s="460" t="s">
        <v>2107</v>
      </c>
      <c r="G372" s="466" t="s">
        <v>2108</v>
      </c>
      <c r="H372" s="460" t="s">
        <v>2109</v>
      </c>
      <c r="I372" s="460" t="s">
        <v>2110</v>
      </c>
      <c r="J372" s="460" t="str">
        <f t="shared" si="13"/>
        <v>[pt]Schweiz (Confoederatio Helvetica)</v>
      </c>
      <c r="K372" s="460" t="str">
        <f t="shared" si="14"/>
        <v>[gr]Schweiz (Confoederatio Helvetica)</v>
      </c>
      <c r="L372" s="531" t="s">
        <v>316</v>
      </c>
      <c r="M372" s="461" t="str">
        <f t="shared" si="18"/>
        <v/>
      </c>
    </row>
    <row r="373" spans="1:13" ht="15.75" customHeight="1">
      <c r="A373" s="529" t="s">
        <v>318</v>
      </c>
      <c r="B373" s="480" t="s">
        <v>2111</v>
      </c>
      <c r="C373" s="529" t="s">
        <v>2112</v>
      </c>
      <c r="D373" s="459" t="str">
        <f t="shared" si="17"/>
        <v xml:space="preserve">CHL Chile </v>
      </c>
      <c r="E373" s="530" t="s">
        <v>317</v>
      </c>
      <c r="F373" s="460" t="s">
        <v>2113</v>
      </c>
      <c r="G373" s="466" t="s">
        <v>2114</v>
      </c>
      <c r="H373" s="460" t="s">
        <v>317</v>
      </c>
      <c r="I373" s="460" t="s">
        <v>2115</v>
      </c>
      <c r="J373" s="460" t="str">
        <f t="shared" si="13"/>
        <v>[pt]Chile</v>
      </c>
      <c r="K373" s="460" t="str">
        <f t="shared" si="14"/>
        <v>[gr]Chile</v>
      </c>
      <c r="L373" s="531" t="s">
        <v>318</v>
      </c>
      <c r="M373" s="461" t="str">
        <f t="shared" si="18"/>
        <v/>
      </c>
    </row>
    <row r="374" spans="1:13" ht="15.75" customHeight="1">
      <c r="A374" s="529" t="s">
        <v>320</v>
      </c>
      <c r="B374" s="480" t="s">
        <v>2116</v>
      </c>
      <c r="C374" s="529" t="s">
        <v>2117</v>
      </c>
      <c r="D374" s="459" t="str">
        <f t="shared" si="17"/>
        <v xml:space="preserve">CHN China </v>
      </c>
      <c r="E374" s="530" t="s">
        <v>2118</v>
      </c>
      <c r="F374" s="460" t="s">
        <v>2119</v>
      </c>
      <c r="G374" s="466" t="s">
        <v>2120</v>
      </c>
      <c r="H374" s="460" t="s">
        <v>319</v>
      </c>
      <c r="I374" s="460" t="s">
        <v>2121</v>
      </c>
      <c r="J374" s="460" t="str">
        <f t="shared" si="13"/>
        <v>[pt]China, Volksrepublik</v>
      </c>
      <c r="K374" s="460" t="str">
        <f t="shared" si="14"/>
        <v>[gr]China, Volksrepublik</v>
      </c>
      <c r="L374" s="531" t="s">
        <v>320</v>
      </c>
      <c r="M374" s="461" t="str">
        <f t="shared" si="18"/>
        <v/>
      </c>
    </row>
    <row r="375" spans="1:13" ht="15.75" customHeight="1">
      <c r="A375" s="529" t="s">
        <v>322</v>
      </c>
      <c r="B375" s="480" t="s">
        <v>2122</v>
      </c>
      <c r="C375" s="529" t="s">
        <v>2123</v>
      </c>
      <c r="D375" s="459" t="str">
        <f t="shared" si="17"/>
        <v xml:space="preserve">CIV Côte d'Ivoire </v>
      </c>
      <c r="E375" s="530" t="s">
        <v>2124</v>
      </c>
      <c r="F375" s="460" t="s">
        <v>2125</v>
      </c>
      <c r="G375" s="466" t="s">
        <v>2126</v>
      </c>
      <c r="H375" s="460" t="s">
        <v>2127</v>
      </c>
      <c r="I375" s="460" t="s">
        <v>2128</v>
      </c>
      <c r="J375" s="460" t="str">
        <f t="shared" si="13"/>
        <v>[pt]Côte d’Ivoire (Elfenbeinküste)</v>
      </c>
      <c r="K375" s="460" t="str">
        <f t="shared" si="14"/>
        <v>[gr]Côte d’Ivoire (Elfenbeinküste)</v>
      </c>
      <c r="L375" s="531" t="s">
        <v>322</v>
      </c>
      <c r="M375" s="461" t="str">
        <f t="shared" si="18"/>
        <v/>
      </c>
    </row>
    <row r="376" spans="1:13" ht="15.75" customHeight="1">
      <c r="A376" s="529" t="s">
        <v>324</v>
      </c>
      <c r="B376" s="480" t="s">
        <v>2129</v>
      </c>
      <c r="C376" s="529" t="s">
        <v>2130</v>
      </c>
      <c r="D376" s="459" t="str">
        <f t="shared" si="17"/>
        <v xml:space="preserve">CMR Cameroon </v>
      </c>
      <c r="E376" s="530" t="s">
        <v>2131</v>
      </c>
      <c r="F376" s="460" t="s">
        <v>2132</v>
      </c>
      <c r="G376" s="466" t="s">
        <v>2133</v>
      </c>
      <c r="H376" s="460" t="s">
        <v>2134</v>
      </c>
      <c r="I376" s="460" t="s">
        <v>2135</v>
      </c>
      <c r="J376" s="460" t="str">
        <f t="shared" si="13"/>
        <v>[pt]Kamerun</v>
      </c>
      <c r="K376" s="460" t="str">
        <f t="shared" si="14"/>
        <v>[gr]Kamerun</v>
      </c>
      <c r="L376" s="531" t="s">
        <v>324</v>
      </c>
      <c r="M376" s="461" t="str">
        <f t="shared" si="18"/>
        <v/>
      </c>
    </row>
    <row r="377" spans="1:13" ht="15.75" customHeight="1">
      <c r="A377" s="529" t="s">
        <v>326</v>
      </c>
      <c r="B377" s="480" t="s">
        <v>2136</v>
      </c>
      <c r="C377" s="529" t="s">
        <v>2137</v>
      </c>
      <c r="D377" s="459" t="str">
        <f t="shared" si="17"/>
        <v xml:space="preserve">COD Congo, the Democratic Republic of the </v>
      </c>
      <c r="E377" s="530" t="s">
        <v>2138</v>
      </c>
      <c r="F377" s="460" t="s">
        <v>2139</v>
      </c>
      <c r="G377" s="466" t="s">
        <v>2140</v>
      </c>
      <c r="H377" s="460" t="s">
        <v>2141</v>
      </c>
      <c r="I377" s="460" t="s">
        <v>2142</v>
      </c>
      <c r="J377" s="460" t="str">
        <f t="shared" si="13"/>
        <v>[pt]Kongo, Demokratische Republik (ehem. Zaire)</v>
      </c>
      <c r="K377" s="460" t="str">
        <f t="shared" si="14"/>
        <v>[gr]Kongo, Demokratische Republik (ehem. Zaire)</v>
      </c>
      <c r="L377" s="531" t="s">
        <v>326</v>
      </c>
      <c r="M377" s="461" t="str">
        <f t="shared" si="18"/>
        <v/>
      </c>
    </row>
    <row r="378" spans="1:13" ht="15.75" customHeight="1">
      <c r="A378" s="529" t="s">
        <v>328</v>
      </c>
      <c r="B378" s="480" t="s">
        <v>2143</v>
      </c>
      <c r="C378" s="529" t="s">
        <v>2144</v>
      </c>
      <c r="D378" s="459" t="str">
        <f t="shared" si="17"/>
        <v xml:space="preserve">COG Congo </v>
      </c>
      <c r="E378" s="530" t="s">
        <v>2145</v>
      </c>
      <c r="F378" s="460" t="s">
        <v>2146</v>
      </c>
      <c r="G378" s="466" t="s">
        <v>2147</v>
      </c>
      <c r="H378" s="460" t="s">
        <v>2148</v>
      </c>
      <c r="I378" s="460" t="s">
        <v>2149</v>
      </c>
      <c r="J378" s="460" t="str">
        <f t="shared" si="13"/>
        <v>[pt]Republik Kongo</v>
      </c>
      <c r="K378" s="460" t="str">
        <f t="shared" si="14"/>
        <v>[gr]Republik Kongo</v>
      </c>
      <c r="L378" s="531" t="s">
        <v>328</v>
      </c>
      <c r="M378" s="461" t="str">
        <f t="shared" si="18"/>
        <v/>
      </c>
    </row>
    <row r="379" spans="1:13" ht="15.75" customHeight="1">
      <c r="A379" s="529" t="s">
        <v>330</v>
      </c>
      <c r="B379" s="480" t="s">
        <v>2150</v>
      </c>
      <c r="C379" s="529" t="s">
        <v>2151</v>
      </c>
      <c r="D379" s="459" t="str">
        <f t="shared" si="17"/>
        <v xml:space="preserve">COL Colombia </v>
      </c>
      <c r="E379" s="530" t="s">
        <v>2152</v>
      </c>
      <c r="F379" s="460" t="s">
        <v>2153</v>
      </c>
      <c r="G379" s="466" t="s">
        <v>2153</v>
      </c>
      <c r="H379" s="460" t="s">
        <v>329</v>
      </c>
      <c r="I379" s="460" t="s">
        <v>2154</v>
      </c>
      <c r="J379" s="460" t="str">
        <f t="shared" si="13"/>
        <v>[pt]Kolumbien</v>
      </c>
      <c r="K379" s="460" t="str">
        <f t="shared" si="14"/>
        <v>[gr]Kolumbien</v>
      </c>
      <c r="L379" s="531" t="s">
        <v>330</v>
      </c>
      <c r="M379" s="461" t="str">
        <f t="shared" si="18"/>
        <v/>
      </c>
    </row>
    <row r="380" spans="1:13" ht="15.75" customHeight="1">
      <c r="A380" s="529" t="s">
        <v>332</v>
      </c>
      <c r="B380" s="480" t="s">
        <v>2155</v>
      </c>
      <c r="C380" s="529" t="s">
        <v>2156</v>
      </c>
      <c r="D380" s="459" t="str">
        <f t="shared" si="17"/>
        <v xml:space="preserve">COM Comoros </v>
      </c>
      <c r="E380" s="530" t="s">
        <v>2157</v>
      </c>
      <c r="F380" s="460" t="s">
        <v>2158</v>
      </c>
      <c r="G380" s="466" t="s">
        <v>2159</v>
      </c>
      <c r="H380" s="460" t="s">
        <v>2160</v>
      </c>
      <c r="I380" s="460" t="s">
        <v>2161</v>
      </c>
      <c r="J380" s="460" t="str">
        <f t="shared" si="13"/>
        <v>[pt]Komoren</v>
      </c>
      <c r="K380" s="460" t="str">
        <f t="shared" si="14"/>
        <v>[gr]Komoren</v>
      </c>
      <c r="L380" s="531" t="s">
        <v>332</v>
      </c>
      <c r="M380" s="461" t="str">
        <f t="shared" si="18"/>
        <v/>
      </c>
    </row>
    <row r="381" spans="1:13" ht="15.75" customHeight="1">
      <c r="A381" s="529" t="s">
        <v>334</v>
      </c>
      <c r="B381" s="480" t="s">
        <v>2162</v>
      </c>
      <c r="C381" s="529" t="s">
        <v>2163</v>
      </c>
      <c r="D381" s="459" t="str">
        <f t="shared" si="17"/>
        <v xml:space="preserve">CPV Cape Verde </v>
      </c>
      <c r="E381" s="530" t="s">
        <v>2164</v>
      </c>
      <c r="F381" s="460" t="s">
        <v>2165</v>
      </c>
      <c r="G381" s="466" t="s">
        <v>2166</v>
      </c>
      <c r="H381" s="460" t="s">
        <v>333</v>
      </c>
      <c r="I381" s="460" t="s">
        <v>2167</v>
      </c>
      <c r="J381" s="460" t="str">
        <f t="shared" si="13"/>
        <v>[pt]Kap Verde</v>
      </c>
      <c r="K381" s="460" t="str">
        <f t="shared" si="14"/>
        <v>[gr]Kap Verde</v>
      </c>
      <c r="L381" s="531" t="s">
        <v>334</v>
      </c>
      <c r="M381" s="461" t="str">
        <f t="shared" si="18"/>
        <v/>
      </c>
    </row>
    <row r="382" spans="1:13" ht="15.75" customHeight="1">
      <c r="A382" s="529" t="s">
        <v>336</v>
      </c>
      <c r="B382" s="480" t="s">
        <v>2168</v>
      </c>
      <c r="C382" s="529" t="s">
        <v>2169</v>
      </c>
      <c r="D382" s="459" t="str">
        <f t="shared" si="17"/>
        <v xml:space="preserve">CRI Costa Rica </v>
      </c>
      <c r="E382" s="530" t="s">
        <v>335</v>
      </c>
      <c r="F382" s="460" t="s">
        <v>2170</v>
      </c>
      <c r="G382" s="466" t="s">
        <v>2170</v>
      </c>
      <c r="H382" s="460" t="s">
        <v>335</v>
      </c>
      <c r="I382" s="460" t="s">
        <v>335</v>
      </c>
      <c r="J382" s="460" t="str">
        <f t="shared" si="13"/>
        <v>[pt]Costa Rica</v>
      </c>
      <c r="K382" s="460" t="str">
        <f t="shared" si="14"/>
        <v>[gr]Costa Rica</v>
      </c>
      <c r="L382" s="531" t="s">
        <v>336</v>
      </c>
      <c r="M382" s="461" t="str">
        <f t="shared" si="18"/>
        <v/>
      </c>
    </row>
    <row r="383" spans="1:13" ht="15.75" customHeight="1">
      <c r="A383" s="529" t="s">
        <v>338</v>
      </c>
      <c r="B383" s="480" t="s">
        <v>2171</v>
      </c>
      <c r="C383" s="529" t="s">
        <v>2172</v>
      </c>
      <c r="D383" s="459" t="str">
        <f t="shared" si="17"/>
        <v xml:space="preserve">CUB Cuba </v>
      </c>
      <c r="E383" s="530" t="s">
        <v>2173</v>
      </c>
      <c r="F383" s="460" t="s">
        <v>2174</v>
      </c>
      <c r="G383" s="466" t="s">
        <v>2174</v>
      </c>
      <c r="H383" s="460" t="s">
        <v>337</v>
      </c>
      <c r="I383" s="460" t="s">
        <v>337</v>
      </c>
      <c r="J383" s="460" t="str">
        <f t="shared" si="13"/>
        <v>[pt]Kuba</v>
      </c>
      <c r="K383" s="460" t="str">
        <f t="shared" si="14"/>
        <v>[gr]Kuba</v>
      </c>
      <c r="L383" s="531" t="s">
        <v>338</v>
      </c>
      <c r="M383" s="461" t="str">
        <f t="shared" si="18"/>
        <v/>
      </c>
    </row>
    <row r="384" spans="1:13" ht="15.75" customHeight="1">
      <c r="A384" s="529" t="s">
        <v>340</v>
      </c>
      <c r="B384" s="480" t="s">
        <v>2175</v>
      </c>
      <c r="C384" s="529" t="s">
        <v>2176</v>
      </c>
      <c r="D384" s="459" t="str">
        <f t="shared" si="17"/>
        <v xml:space="preserve">CUW Curaçao </v>
      </c>
      <c r="E384" s="457" t="s">
        <v>2177</v>
      </c>
      <c r="F384" s="460" t="s">
        <v>2178</v>
      </c>
      <c r="G384" s="466" t="s">
        <v>2178</v>
      </c>
      <c r="H384" s="460" t="s">
        <v>2179</v>
      </c>
      <c r="I384" s="460" t="s">
        <v>2177</v>
      </c>
      <c r="J384" s="460" t="str">
        <f t="shared" si="13"/>
        <v>[pt]Curaçao</v>
      </c>
      <c r="K384" s="460" t="str">
        <f t="shared" si="14"/>
        <v>[gr]Curaçao</v>
      </c>
      <c r="L384" s="531" t="s">
        <v>340</v>
      </c>
      <c r="M384" s="461" t="str">
        <f t="shared" si="18"/>
        <v/>
      </c>
    </row>
    <row r="385" spans="1:13" ht="15.75" customHeight="1">
      <c r="A385" s="529" t="s">
        <v>342</v>
      </c>
      <c r="B385" s="480" t="s">
        <v>2180</v>
      </c>
      <c r="C385" s="529" t="s">
        <v>2181</v>
      </c>
      <c r="D385" s="459" t="str">
        <f t="shared" si="17"/>
        <v xml:space="preserve">CYM Cayman Islands </v>
      </c>
      <c r="E385" s="530" t="s">
        <v>2182</v>
      </c>
      <c r="F385" s="460" t="s">
        <v>2183</v>
      </c>
      <c r="G385" s="466" t="s">
        <v>2184</v>
      </c>
      <c r="H385" s="460" t="s">
        <v>2185</v>
      </c>
      <c r="I385" s="460" t="s">
        <v>2186</v>
      </c>
      <c r="J385" s="460" t="str">
        <f t="shared" si="13"/>
        <v>[pt]Kaimaninseln</v>
      </c>
      <c r="K385" s="460" t="str">
        <f t="shared" si="14"/>
        <v>[gr]Kaimaninseln</v>
      </c>
      <c r="L385" s="531" t="s">
        <v>342</v>
      </c>
      <c r="M385" s="461" t="str">
        <f t="shared" si="18"/>
        <v/>
      </c>
    </row>
    <row r="386" spans="1:13" ht="15.75" customHeight="1">
      <c r="A386" s="529" t="s">
        <v>344</v>
      </c>
      <c r="B386" s="480" t="s">
        <v>2187</v>
      </c>
      <c r="C386" s="529" t="s">
        <v>2188</v>
      </c>
      <c r="D386" s="459" t="str">
        <f t="shared" si="17"/>
        <v xml:space="preserve">CYP Cyprus </v>
      </c>
      <c r="E386" s="530" t="s">
        <v>2189</v>
      </c>
      <c r="F386" s="460" t="s">
        <v>2190</v>
      </c>
      <c r="G386" s="466" t="s">
        <v>2191</v>
      </c>
      <c r="H386" s="460" t="s">
        <v>2192</v>
      </c>
      <c r="I386" s="460" t="s">
        <v>2193</v>
      </c>
      <c r="J386" s="460" t="str">
        <f t="shared" si="13"/>
        <v>[pt]Zypern</v>
      </c>
      <c r="K386" s="460" t="str">
        <f t="shared" si="14"/>
        <v>[gr]Zypern</v>
      </c>
      <c r="L386" s="531" t="s">
        <v>344</v>
      </c>
      <c r="M386" s="461" t="str">
        <f t="shared" si="18"/>
        <v/>
      </c>
    </row>
    <row r="387" spans="1:13" ht="15.75" customHeight="1">
      <c r="A387" s="529" t="s">
        <v>346</v>
      </c>
      <c r="B387" s="480" t="s">
        <v>2194</v>
      </c>
      <c r="C387" s="529" t="s">
        <v>2195</v>
      </c>
      <c r="D387" s="459" t="str">
        <f t="shared" si="17"/>
        <v xml:space="preserve">CZE Czech Republic </v>
      </c>
      <c r="E387" s="530" t="s">
        <v>2196</v>
      </c>
      <c r="F387" s="460" t="s">
        <v>2197</v>
      </c>
      <c r="G387" s="466" t="s">
        <v>2198</v>
      </c>
      <c r="H387" s="460" t="s">
        <v>2199</v>
      </c>
      <c r="I387" s="460" t="s">
        <v>2200</v>
      </c>
      <c r="J387" s="460" t="str">
        <f t="shared" si="13"/>
        <v>[pt]Tschechische Republik</v>
      </c>
      <c r="K387" s="460" t="str">
        <f t="shared" si="14"/>
        <v>[gr]Tschechische Republik</v>
      </c>
      <c r="L387" s="531" t="s">
        <v>346</v>
      </c>
      <c r="M387" s="461" t="str">
        <f t="shared" si="18"/>
        <v/>
      </c>
    </row>
    <row r="388" spans="1:13" ht="15.75" customHeight="1">
      <c r="A388" s="529" t="s">
        <v>348</v>
      </c>
      <c r="B388" s="480" t="s">
        <v>2201</v>
      </c>
      <c r="C388" s="529" t="s">
        <v>2202</v>
      </c>
      <c r="D388" s="459" t="str">
        <f t="shared" si="17"/>
        <v xml:space="preserve">DEU Germany </v>
      </c>
      <c r="E388" s="530" t="s">
        <v>2203</v>
      </c>
      <c r="F388" s="460" t="s">
        <v>2204</v>
      </c>
      <c r="G388" s="466" t="s">
        <v>2205</v>
      </c>
      <c r="H388" s="460" t="s">
        <v>2206</v>
      </c>
      <c r="I388" s="460" t="s">
        <v>2207</v>
      </c>
      <c r="J388" s="460" t="str">
        <f t="shared" si="13"/>
        <v>[pt]Deutschland</v>
      </c>
      <c r="K388" s="460" t="str">
        <f t="shared" si="14"/>
        <v>[gr]Deutschland</v>
      </c>
      <c r="L388" s="531" t="s">
        <v>348</v>
      </c>
      <c r="M388" s="461" t="str">
        <f t="shared" si="18"/>
        <v/>
      </c>
    </row>
    <row r="389" spans="1:13" ht="15.75" customHeight="1">
      <c r="A389" s="529" t="s">
        <v>350</v>
      </c>
      <c r="B389" s="480" t="s">
        <v>2208</v>
      </c>
      <c r="C389" s="529" t="s">
        <v>2209</v>
      </c>
      <c r="D389" s="459" t="str">
        <f t="shared" si="17"/>
        <v xml:space="preserve">DJI Djibouti </v>
      </c>
      <c r="E389" s="530" t="s">
        <v>2210</v>
      </c>
      <c r="F389" s="460" t="s">
        <v>2211</v>
      </c>
      <c r="G389" s="466" t="s">
        <v>2212</v>
      </c>
      <c r="H389" s="460" t="s">
        <v>2213</v>
      </c>
      <c r="I389" s="460" t="s">
        <v>349</v>
      </c>
      <c r="J389" s="460" t="str">
        <f t="shared" si="13"/>
        <v>[pt]Dschibuti</v>
      </c>
      <c r="K389" s="460" t="str">
        <f t="shared" si="14"/>
        <v>[gr]Dschibuti</v>
      </c>
      <c r="L389" s="531" t="s">
        <v>350</v>
      </c>
      <c r="M389" s="461" t="str">
        <f t="shared" si="18"/>
        <v/>
      </c>
    </row>
    <row r="390" spans="1:13" ht="15.75" customHeight="1">
      <c r="A390" s="529" t="s">
        <v>352</v>
      </c>
      <c r="B390" s="480" t="s">
        <v>2214</v>
      </c>
      <c r="C390" s="529" t="s">
        <v>2215</v>
      </c>
      <c r="D390" s="459" t="str">
        <f t="shared" si="17"/>
        <v xml:space="preserve">DMA Dominica </v>
      </c>
      <c r="E390" s="530" t="s">
        <v>351</v>
      </c>
      <c r="F390" s="460" t="s">
        <v>2216</v>
      </c>
      <c r="G390" s="466" t="s">
        <v>2216</v>
      </c>
      <c r="H390" s="460" t="s">
        <v>351</v>
      </c>
      <c r="I390" s="460" t="s">
        <v>2217</v>
      </c>
      <c r="J390" s="460" t="str">
        <f t="shared" si="13"/>
        <v>[pt]Dominica</v>
      </c>
      <c r="K390" s="460" t="str">
        <f t="shared" si="14"/>
        <v>[gr]Dominica</v>
      </c>
      <c r="L390" s="531" t="s">
        <v>352</v>
      </c>
      <c r="M390" s="461" t="str">
        <f t="shared" si="18"/>
        <v/>
      </c>
    </row>
    <row r="391" spans="1:13" ht="15.75" customHeight="1">
      <c r="A391" s="529" t="s">
        <v>354</v>
      </c>
      <c r="B391" s="480" t="s">
        <v>2218</v>
      </c>
      <c r="C391" s="529" t="s">
        <v>2219</v>
      </c>
      <c r="D391" s="459" t="str">
        <f t="shared" si="17"/>
        <v xml:space="preserve">DNK Denmark </v>
      </c>
      <c r="E391" s="530" t="s">
        <v>2220</v>
      </c>
      <c r="F391" s="460" t="s">
        <v>2221</v>
      </c>
      <c r="G391" s="466" t="s">
        <v>2222</v>
      </c>
      <c r="H391" s="460" t="s">
        <v>2223</v>
      </c>
      <c r="I391" s="460" t="s">
        <v>2224</v>
      </c>
      <c r="J391" s="460" t="str">
        <f t="shared" si="13"/>
        <v>[pt]Dänemark</v>
      </c>
      <c r="K391" s="460" t="str">
        <f t="shared" si="14"/>
        <v>[gr]Dänemark</v>
      </c>
      <c r="L391" s="531" t="s">
        <v>354</v>
      </c>
      <c r="M391" s="461" t="str">
        <f t="shared" si="18"/>
        <v/>
      </c>
    </row>
    <row r="392" spans="1:13" ht="15.75" customHeight="1">
      <c r="A392" s="529" t="s">
        <v>356</v>
      </c>
      <c r="B392" s="480" t="s">
        <v>2225</v>
      </c>
      <c r="C392" s="529" t="s">
        <v>2226</v>
      </c>
      <c r="D392" s="459" t="str">
        <f t="shared" si="17"/>
        <v xml:space="preserve">DOM Dominican Republic </v>
      </c>
      <c r="E392" s="530" t="s">
        <v>2227</v>
      </c>
      <c r="F392" s="460" t="s">
        <v>2228</v>
      </c>
      <c r="G392" s="466" t="s">
        <v>2229</v>
      </c>
      <c r="H392" s="460" t="s">
        <v>2230</v>
      </c>
      <c r="I392" s="460" t="s">
        <v>2231</v>
      </c>
      <c r="J392" s="460" t="str">
        <f t="shared" si="13"/>
        <v>[pt]Dominikanische Republik</v>
      </c>
      <c r="K392" s="460" t="str">
        <f t="shared" si="14"/>
        <v>[gr]Dominikanische Republik</v>
      </c>
      <c r="L392" s="531" t="s">
        <v>356</v>
      </c>
      <c r="M392" s="461" t="str">
        <f t="shared" si="18"/>
        <v/>
      </c>
    </row>
    <row r="393" spans="1:13" ht="15.75" customHeight="1">
      <c r="A393" s="529" t="s">
        <v>358</v>
      </c>
      <c r="B393" s="480" t="s">
        <v>2232</v>
      </c>
      <c r="C393" s="529" t="s">
        <v>2233</v>
      </c>
      <c r="D393" s="459" t="str">
        <f t="shared" si="17"/>
        <v xml:space="preserve">DZA Algeria </v>
      </c>
      <c r="E393" s="530" t="s">
        <v>2234</v>
      </c>
      <c r="F393" s="460" t="s">
        <v>2235</v>
      </c>
      <c r="G393" s="466" t="s">
        <v>2235</v>
      </c>
      <c r="H393" s="460" t="s">
        <v>2236</v>
      </c>
      <c r="I393" s="460" t="s">
        <v>2237</v>
      </c>
      <c r="J393" s="460" t="str">
        <f t="shared" si="13"/>
        <v>[pt]Algerien</v>
      </c>
      <c r="K393" s="460" t="str">
        <f t="shared" si="14"/>
        <v>[gr]Algerien</v>
      </c>
      <c r="L393" s="531" t="s">
        <v>358</v>
      </c>
      <c r="M393" s="461" t="str">
        <f t="shared" si="18"/>
        <v/>
      </c>
    </row>
    <row r="394" spans="1:13" ht="15.75" customHeight="1">
      <c r="A394" s="529" t="s">
        <v>360</v>
      </c>
      <c r="B394" s="480" t="s">
        <v>2238</v>
      </c>
      <c r="C394" s="529" t="s">
        <v>2239</v>
      </c>
      <c r="D394" s="459" t="str">
        <f t="shared" si="17"/>
        <v xml:space="preserve">ECU Ecuador </v>
      </c>
      <c r="E394" s="530" t="s">
        <v>359</v>
      </c>
      <c r="F394" s="460" t="s">
        <v>2240</v>
      </c>
      <c r="G394" s="466" t="s">
        <v>2240</v>
      </c>
      <c r="H394" s="460" t="s">
        <v>359</v>
      </c>
      <c r="I394" s="460" t="s">
        <v>2241</v>
      </c>
      <c r="J394" s="460" t="str">
        <f t="shared" si="13"/>
        <v>[pt]Ecuador</v>
      </c>
      <c r="K394" s="460" t="str">
        <f t="shared" si="14"/>
        <v>[gr]Ecuador</v>
      </c>
      <c r="L394" s="531" t="s">
        <v>360</v>
      </c>
      <c r="M394" s="461" t="str">
        <f t="shared" si="18"/>
        <v/>
      </c>
    </row>
    <row r="395" spans="1:13" ht="15.75" customHeight="1">
      <c r="A395" s="529" t="s">
        <v>362</v>
      </c>
      <c r="B395" s="480" t="s">
        <v>2242</v>
      </c>
      <c r="C395" s="529" t="s">
        <v>2243</v>
      </c>
      <c r="D395" s="459" t="str">
        <f t="shared" si="17"/>
        <v xml:space="preserve">EGY Egypt </v>
      </c>
      <c r="E395" s="530" t="s">
        <v>2244</v>
      </c>
      <c r="F395" s="460" t="s">
        <v>2245</v>
      </c>
      <c r="G395" s="466" t="s">
        <v>2246</v>
      </c>
      <c r="H395" s="460" t="s">
        <v>2247</v>
      </c>
      <c r="I395" s="460" t="s">
        <v>2248</v>
      </c>
      <c r="J395" s="460" t="str">
        <f t="shared" si="13"/>
        <v>[pt]Ägypten</v>
      </c>
      <c r="K395" s="460" t="str">
        <f t="shared" si="14"/>
        <v>[gr]Ägypten</v>
      </c>
      <c r="L395" s="531" t="s">
        <v>362</v>
      </c>
      <c r="M395" s="461" t="str">
        <f t="shared" si="18"/>
        <v/>
      </c>
    </row>
    <row r="396" spans="1:13" ht="15.75" customHeight="1">
      <c r="A396" s="529" t="s">
        <v>364</v>
      </c>
      <c r="B396" s="480" t="s">
        <v>2249</v>
      </c>
      <c r="C396" s="529" t="s">
        <v>2250</v>
      </c>
      <c r="D396" s="459" t="str">
        <f t="shared" si="17"/>
        <v xml:space="preserve">ERI Eritrea </v>
      </c>
      <c r="E396" s="530" t="s">
        <v>363</v>
      </c>
      <c r="F396" s="460" t="s">
        <v>2251</v>
      </c>
      <c r="G396" s="466" t="s">
        <v>2251</v>
      </c>
      <c r="H396" s="460" t="s">
        <v>363</v>
      </c>
      <c r="I396" s="460" t="s">
        <v>2252</v>
      </c>
      <c r="J396" s="460" t="str">
        <f t="shared" si="13"/>
        <v>[pt]Eritrea</v>
      </c>
      <c r="K396" s="460" t="str">
        <f t="shared" si="14"/>
        <v>[gr]Eritrea</v>
      </c>
      <c r="L396" s="531" t="s">
        <v>364</v>
      </c>
      <c r="M396" s="461" t="str">
        <f t="shared" si="18"/>
        <v/>
      </c>
    </row>
    <row r="397" spans="1:13" ht="15.75" customHeight="1">
      <c r="A397" s="529" t="s">
        <v>366</v>
      </c>
      <c r="B397" s="480" t="s">
        <v>2253</v>
      </c>
      <c r="C397" s="529" t="s">
        <v>2254</v>
      </c>
      <c r="D397" s="459" t="str">
        <f t="shared" si="17"/>
        <v xml:space="preserve">ESP Spain </v>
      </c>
      <c r="E397" s="530" t="s">
        <v>2255</v>
      </c>
      <c r="F397" s="460" t="s">
        <v>2256</v>
      </c>
      <c r="G397" s="466" t="s">
        <v>2257</v>
      </c>
      <c r="H397" s="460" t="s">
        <v>2258</v>
      </c>
      <c r="I397" s="460" t="s">
        <v>2259</v>
      </c>
      <c r="J397" s="460" t="str">
        <f t="shared" si="13"/>
        <v>[pt]Spanien</v>
      </c>
      <c r="K397" s="460" t="str">
        <f t="shared" si="14"/>
        <v>[gr]Spanien</v>
      </c>
      <c r="L397" s="531" t="s">
        <v>366</v>
      </c>
      <c r="M397" s="461" t="str">
        <f t="shared" si="18"/>
        <v/>
      </c>
    </row>
    <row r="398" spans="1:13" ht="15.75" customHeight="1">
      <c r="A398" s="529" t="s">
        <v>368</v>
      </c>
      <c r="B398" s="480" t="s">
        <v>2260</v>
      </c>
      <c r="C398" s="529" t="s">
        <v>2261</v>
      </c>
      <c r="D398" s="459" t="str">
        <f t="shared" si="17"/>
        <v xml:space="preserve">EST Estonia </v>
      </c>
      <c r="E398" s="530" t="s">
        <v>2262</v>
      </c>
      <c r="F398" s="460" t="s">
        <v>2263</v>
      </c>
      <c r="G398" s="466" t="s">
        <v>2263</v>
      </c>
      <c r="H398" s="460" t="s">
        <v>367</v>
      </c>
      <c r="I398" s="460" t="s">
        <v>2264</v>
      </c>
      <c r="J398" s="460" t="str">
        <f t="shared" si="13"/>
        <v>[pt]Estland</v>
      </c>
      <c r="K398" s="460" t="str">
        <f t="shared" si="14"/>
        <v>[gr]Estland</v>
      </c>
      <c r="L398" s="531" t="s">
        <v>368</v>
      </c>
      <c r="M398" s="461" t="str">
        <f t="shared" si="18"/>
        <v/>
      </c>
    </row>
    <row r="399" spans="1:13" ht="15.75" customHeight="1">
      <c r="A399" s="529" t="s">
        <v>370</v>
      </c>
      <c r="B399" s="480" t="s">
        <v>2265</v>
      </c>
      <c r="C399" s="529" t="s">
        <v>2266</v>
      </c>
      <c r="D399" s="459" t="str">
        <f t="shared" si="17"/>
        <v xml:space="preserve">ETH Ethiopia </v>
      </c>
      <c r="E399" s="530" t="s">
        <v>2267</v>
      </c>
      <c r="F399" s="460" t="s">
        <v>2268</v>
      </c>
      <c r="G399" s="466" t="s">
        <v>2269</v>
      </c>
      <c r="H399" s="460" t="s">
        <v>2270</v>
      </c>
      <c r="I399" s="460" t="s">
        <v>2271</v>
      </c>
      <c r="J399" s="460" t="str">
        <f t="shared" si="13"/>
        <v>[pt]Äthiopien</v>
      </c>
      <c r="K399" s="460" t="str">
        <f t="shared" si="14"/>
        <v>[gr]Äthiopien</v>
      </c>
      <c r="L399" s="531" t="s">
        <v>370</v>
      </c>
      <c r="M399" s="461" t="str">
        <f t="shared" si="18"/>
        <v/>
      </c>
    </row>
    <row r="400" spans="1:13" ht="15.75" customHeight="1">
      <c r="A400" s="529" t="s">
        <v>372</v>
      </c>
      <c r="B400" s="480" t="s">
        <v>2272</v>
      </c>
      <c r="C400" s="529" t="s">
        <v>2273</v>
      </c>
      <c r="D400" s="459" t="str">
        <f t="shared" si="17"/>
        <v xml:space="preserve">FIN Finland </v>
      </c>
      <c r="E400" s="530" t="s">
        <v>2274</v>
      </c>
      <c r="F400" s="460" t="s">
        <v>2275</v>
      </c>
      <c r="G400" s="466" t="s">
        <v>2276</v>
      </c>
      <c r="H400" s="460" t="s">
        <v>2277</v>
      </c>
      <c r="I400" s="460" t="s">
        <v>2278</v>
      </c>
      <c r="J400" s="460" t="str">
        <f t="shared" si="13"/>
        <v>[pt]Finnland</v>
      </c>
      <c r="K400" s="460" t="str">
        <f t="shared" si="14"/>
        <v>[gr]Finnland</v>
      </c>
      <c r="L400" s="531" t="s">
        <v>372</v>
      </c>
      <c r="M400" s="461" t="str">
        <f t="shared" si="18"/>
        <v/>
      </c>
    </row>
    <row r="401" spans="1:13" ht="28.5" customHeight="1">
      <c r="A401" s="529" t="s">
        <v>374</v>
      </c>
      <c r="B401" s="480" t="s">
        <v>2279</v>
      </c>
      <c r="C401" s="529" t="s">
        <v>2280</v>
      </c>
      <c r="D401" s="459" t="str">
        <f t="shared" si="17"/>
        <v xml:space="preserve">FJI Fiji </v>
      </c>
      <c r="E401" s="530" t="s">
        <v>2281</v>
      </c>
      <c r="F401" s="460" t="s">
        <v>2282</v>
      </c>
      <c r="G401" s="466" t="s">
        <v>2283</v>
      </c>
      <c r="H401" s="460" t="s">
        <v>2284</v>
      </c>
      <c r="I401" s="460" t="s">
        <v>373</v>
      </c>
      <c r="J401" s="460" t="str">
        <f t="shared" si="13"/>
        <v>[pt]Fidschi</v>
      </c>
      <c r="K401" s="460" t="str">
        <f t="shared" si="14"/>
        <v>[gr]Fidschi</v>
      </c>
      <c r="L401" s="531" t="s">
        <v>374</v>
      </c>
      <c r="M401" s="461" t="str">
        <f t="shared" si="18"/>
        <v/>
      </c>
    </row>
    <row r="402" spans="1:13" ht="15.75" customHeight="1">
      <c r="A402" s="529" t="s">
        <v>376</v>
      </c>
      <c r="B402" s="480" t="s">
        <v>2285</v>
      </c>
      <c r="C402" s="529" t="s">
        <v>2286</v>
      </c>
      <c r="D402" s="459" t="str">
        <f t="shared" si="17"/>
        <v xml:space="preserve">FRA France </v>
      </c>
      <c r="E402" s="530" t="s">
        <v>2287</v>
      </c>
      <c r="F402" s="460" t="s">
        <v>2288</v>
      </c>
      <c r="G402" s="466" t="s">
        <v>2289</v>
      </c>
      <c r="H402" s="460" t="s">
        <v>2290</v>
      </c>
      <c r="I402" s="460" t="s">
        <v>375</v>
      </c>
      <c r="J402" s="460" t="str">
        <f t="shared" si="13"/>
        <v>[pt]Frankreich</v>
      </c>
      <c r="K402" s="460" t="str">
        <f t="shared" si="14"/>
        <v>[gr]Frankreich</v>
      </c>
      <c r="L402" s="531" t="s">
        <v>376</v>
      </c>
      <c r="M402" s="461" t="str">
        <f t="shared" si="18"/>
        <v/>
      </c>
    </row>
    <row r="403" spans="1:13" ht="15.75" customHeight="1">
      <c r="A403" s="529" t="s">
        <v>378</v>
      </c>
      <c r="B403" s="480" t="s">
        <v>2291</v>
      </c>
      <c r="C403" s="529" t="s">
        <v>2292</v>
      </c>
      <c r="D403" s="459" t="str">
        <f t="shared" si="17"/>
        <v xml:space="preserve">FRO Faroe Islands </v>
      </c>
      <c r="E403" s="530" t="s">
        <v>2293</v>
      </c>
      <c r="F403" s="460" t="s">
        <v>2294</v>
      </c>
      <c r="G403" s="466" t="s">
        <v>2295</v>
      </c>
      <c r="H403" s="460" t="s">
        <v>2296</v>
      </c>
      <c r="I403" s="460" t="s">
        <v>2297</v>
      </c>
      <c r="J403" s="460" t="str">
        <f t="shared" si="13"/>
        <v>[pt]Färöer</v>
      </c>
      <c r="K403" s="460" t="str">
        <f t="shared" si="14"/>
        <v>[gr]Färöer</v>
      </c>
      <c r="L403" s="531" t="s">
        <v>378</v>
      </c>
      <c r="M403" s="461" t="str">
        <f t="shared" si="18"/>
        <v/>
      </c>
    </row>
    <row r="404" spans="1:13" ht="15.75" customHeight="1">
      <c r="A404" s="529" t="s">
        <v>380</v>
      </c>
      <c r="B404" s="480" t="s">
        <v>2298</v>
      </c>
      <c r="C404" s="529" t="s">
        <v>2299</v>
      </c>
      <c r="D404" s="459" t="str">
        <f t="shared" si="17"/>
        <v xml:space="preserve">FSM Micronesia, Federated States of </v>
      </c>
      <c r="E404" s="530" t="s">
        <v>2300</v>
      </c>
      <c r="F404" s="460" t="s">
        <v>2301</v>
      </c>
      <c r="G404" s="466" t="s">
        <v>2302</v>
      </c>
      <c r="H404" s="460" t="s">
        <v>2303</v>
      </c>
      <c r="I404" s="460" t="s">
        <v>2304</v>
      </c>
      <c r="J404" s="460" t="str">
        <f t="shared" si="13"/>
        <v>[pt]Mikronesien</v>
      </c>
      <c r="K404" s="460" t="str">
        <f t="shared" si="14"/>
        <v>[gr]Mikronesien</v>
      </c>
      <c r="L404" s="531" t="s">
        <v>380</v>
      </c>
      <c r="M404" s="461" t="str">
        <f t="shared" si="18"/>
        <v/>
      </c>
    </row>
    <row r="405" spans="1:13" ht="15.75" customHeight="1">
      <c r="A405" s="529" t="s">
        <v>382</v>
      </c>
      <c r="B405" s="480" t="s">
        <v>2305</v>
      </c>
      <c r="C405" s="529" t="s">
        <v>2306</v>
      </c>
      <c r="D405" s="459" t="str">
        <f t="shared" si="17"/>
        <v xml:space="preserve">GAB Gabon </v>
      </c>
      <c r="E405" s="530" t="s">
        <v>2307</v>
      </c>
      <c r="F405" s="460" t="s">
        <v>2308</v>
      </c>
      <c r="G405" s="466" t="s">
        <v>2308</v>
      </c>
      <c r="H405" s="460" t="s">
        <v>2309</v>
      </c>
      <c r="I405" s="460" t="s">
        <v>381</v>
      </c>
      <c r="J405" s="460" t="str">
        <f t="shared" si="13"/>
        <v>[pt]Gabun</v>
      </c>
      <c r="K405" s="460" t="str">
        <f t="shared" si="14"/>
        <v>[gr]Gabun</v>
      </c>
      <c r="L405" s="531" t="s">
        <v>382</v>
      </c>
      <c r="M405" s="461" t="str">
        <f t="shared" si="18"/>
        <v/>
      </c>
    </row>
    <row r="406" spans="1:13" ht="15.75" customHeight="1">
      <c r="A406" s="529" t="s">
        <v>384</v>
      </c>
      <c r="B406" s="480" t="s">
        <v>2310</v>
      </c>
      <c r="C406" s="529" t="s">
        <v>2311</v>
      </c>
      <c r="D406" s="459" t="str">
        <f t="shared" si="17"/>
        <v xml:space="preserve">GBR United Kingdom </v>
      </c>
      <c r="E406" s="530" t="s">
        <v>2312</v>
      </c>
      <c r="F406" s="460" t="s">
        <v>2313</v>
      </c>
      <c r="G406" s="466" t="s">
        <v>2314</v>
      </c>
      <c r="H406" s="460" t="s">
        <v>2315</v>
      </c>
      <c r="I406" s="460" t="s">
        <v>2316</v>
      </c>
      <c r="J406" s="460" t="str">
        <f t="shared" si="13"/>
        <v>[pt]Vereinigtes Königreich Großbritannien und Nordirland</v>
      </c>
      <c r="K406" s="460" t="str">
        <f t="shared" si="14"/>
        <v>[gr]Vereinigtes Königreich Großbritannien und Nordirland</v>
      </c>
      <c r="L406" s="531" t="s">
        <v>384</v>
      </c>
      <c r="M406" s="461" t="str">
        <f t="shared" si="18"/>
        <v/>
      </c>
    </row>
    <row r="407" spans="1:13" ht="15.75" customHeight="1">
      <c r="A407" s="529" t="s">
        <v>386</v>
      </c>
      <c r="B407" s="480" t="s">
        <v>2317</v>
      </c>
      <c r="C407" s="529" t="s">
        <v>2318</v>
      </c>
      <c r="D407" s="459" t="str">
        <f t="shared" si="17"/>
        <v xml:space="preserve">GEO Georgia </v>
      </c>
      <c r="E407" s="530" t="s">
        <v>2319</v>
      </c>
      <c r="F407" s="460" t="s">
        <v>2320</v>
      </c>
      <c r="G407" s="466" t="s">
        <v>2320</v>
      </c>
      <c r="H407" s="460" t="s">
        <v>385</v>
      </c>
      <c r="I407" s="460" t="s">
        <v>2321</v>
      </c>
      <c r="J407" s="460" t="str">
        <f t="shared" si="13"/>
        <v>[pt]Georgien</v>
      </c>
      <c r="K407" s="460" t="str">
        <f t="shared" si="14"/>
        <v>[gr]Georgien</v>
      </c>
      <c r="L407" s="531" t="s">
        <v>386</v>
      </c>
      <c r="M407" s="461" t="str">
        <f t="shared" si="18"/>
        <v/>
      </c>
    </row>
    <row r="408" spans="1:13" ht="15.75" customHeight="1">
      <c r="A408" s="529" t="s">
        <v>388</v>
      </c>
      <c r="B408" s="480" t="s">
        <v>2322</v>
      </c>
      <c r="C408" s="529" t="s">
        <v>2323</v>
      </c>
      <c r="D408" s="459" t="str">
        <f t="shared" si="17"/>
        <v xml:space="preserve">GHA Ghana </v>
      </c>
      <c r="E408" s="530" t="s">
        <v>387</v>
      </c>
      <c r="F408" s="460" t="s">
        <v>2324</v>
      </c>
      <c r="G408" s="466" t="s">
        <v>2324</v>
      </c>
      <c r="H408" s="460" t="s">
        <v>387</v>
      </c>
      <c r="I408" s="460" t="s">
        <v>387</v>
      </c>
      <c r="J408" s="460" t="str">
        <f t="shared" si="13"/>
        <v>[pt]Ghana</v>
      </c>
      <c r="K408" s="460" t="str">
        <f t="shared" si="14"/>
        <v>[gr]Ghana</v>
      </c>
      <c r="L408" s="531" t="s">
        <v>388</v>
      </c>
      <c r="M408" s="461" t="str">
        <f t="shared" si="18"/>
        <v/>
      </c>
    </row>
    <row r="409" spans="1:13" ht="15.75" customHeight="1">
      <c r="A409" s="529" t="s">
        <v>390</v>
      </c>
      <c r="B409" s="480" t="s">
        <v>2325</v>
      </c>
      <c r="C409" s="529" t="s">
        <v>2326</v>
      </c>
      <c r="D409" s="459" t="str">
        <f t="shared" si="17"/>
        <v xml:space="preserve">GIB Gibraltar </v>
      </c>
      <c r="E409" s="530" t="s">
        <v>389</v>
      </c>
      <c r="F409" s="460" t="s">
        <v>2327</v>
      </c>
      <c r="G409" s="466" t="s">
        <v>2328</v>
      </c>
      <c r="H409" s="460" t="s">
        <v>389</v>
      </c>
      <c r="I409" s="460" t="s">
        <v>2329</v>
      </c>
      <c r="J409" s="460" t="str">
        <f t="shared" si="13"/>
        <v>[pt]Gibraltar</v>
      </c>
      <c r="K409" s="460" t="str">
        <f t="shared" si="14"/>
        <v>[gr]Gibraltar</v>
      </c>
      <c r="L409" s="531" t="s">
        <v>390</v>
      </c>
      <c r="M409" s="461" t="str">
        <f t="shared" si="18"/>
        <v/>
      </c>
    </row>
    <row r="410" spans="1:13" ht="15.75" customHeight="1">
      <c r="A410" s="529" t="s">
        <v>392</v>
      </c>
      <c r="B410" s="480" t="s">
        <v>2330</v>
      </c>
      <c r="C410" s="529" t="s">
        <v>2331</v>
      </c>
      <c r="D410" s="459" t="str">
        <f t="shared" si="17"/>
        <v xml:space="preserve">GIN Guinea </v>
      </c>
      <c r="E410" s="530" t="s">
        <v>391</v>
      </c>
      <c r="F410" s="460" t="s">
        <v>2332</v>
      </c>
      <c r="G410" s="466" t="s">
        <v>2332</v>
      </c>
      <c r="H410" s="460" t="s">
        <v>391</v>
      </c>
      <c r="I410" s="460" t="s">
        <v>2333</v>
      </c>
      <c r="J410" s="460" t="str">
        <f t="shared" si="13"/>
        <v>[pt]Guinea</v>
      </c>
      <c r="K410" s="460" t="str">
        <f t="shared" si="14"/>
        <v>[gr]Guinea</v>
      </c>
      <c r="L410" s="531" t="s">
        <v>392</v>
      </c>
      <c r="M410" s="461" t="str">
        <f t="shared" si="18"/>
        <v/>
      </c>
    </row>
    <row r="411" spans="1:13" ht="15.75" customHeight="1">
      <c r="A411" s="529" t="s">
        <v>394</v>
      </c>
      <c r="B411" s="480" t="s">
        <v>2334</v>
      </c>
      <c r="C411" s="529" t="s">
        <v>2335</v>
      </c>
      <c r="D411" s="459" t="str">
        <f t="shared" si="17"/>
        <v xml:space="preserve">GMB Gambia </v>
      </c>
      <c r="E411" s="530" t="s">
        <v>2336</v>
      </c>
      <c r="F411" s="460" t="s">
        <v>2337</v>
      </c>
      <c r="G411" s="466" t="s">
        <v>2337</v>
      </c>
      <c r="H411" s="460" t="s">
        <v>2336</v>
      </c>
      <c r="I411" s="460" t="s">
        <v>2338</v>
      </c>
      <c r="J411" s="460" t="str">
        <f t="shared" si="13"/>
        <v>[pt]Gambia</v>
      </c>
      <c r="K411" s="460" t="str">
        <f t="shared" si="14"/>
        <v>[gr]Gambia</v>
      </c>
      <c r="L411" s="531" t="s">
        <v>394</v>
      </c>
      <c r="M411" s="461" t="str">
        <f t="shared" si="18"/>
        <v/>
      </c>
    </row>
    <row r="412" spans="1:13" ht="28.5" customHeight="1">
      <c r="A412" s="529" t="s">
        <v>396</v>
      </c>
      <c r="B412" s="480" t="s">
        <v>2339</v>
      </c>
      <c r="C412" s="529" t="s">
        <v>2340</v>
      </c>
      <c r="D412" s="459" t="str">
        <f t="shared" si="17"/>
        <v xml:space="preserve">GNB Guinea-Bissau </v>
      </c>
      <c r="E412" s="530" t="s">
        <v>395</v>
      </c>
      <c r="F412" s="460" t="s">
        <v>2341</v>
      </c>
      <c r="G412" s="466" t="s">
        <v>2341</v>
      </c>
      <c r="H412" s="460" t="s">
        <v>2342</v>
      </c>
      <c r="I412" s="460" t="s">
        <v>2343</v>
      </c>
      <c r="J412" s="460" t="str">
        <f t="shared" si="13"/>
        <v>[pt]Guinea-Bissau</v>
      </c>
      <c r="K412" s="460" t="str">
        <f t="shared" si="14"/>
        <v>[gr]Guinea-Bissau</v>
      </c>
      <c r="L412" s="531" t="s">
        <v>396</v>
      </c>
      <c r="M412" s="461" t="str">
        <f t="shared" si="18"/>
        <v/>
      </c>
    </row>
    <row r="413" spans="1:13" ht="15.75" customHeight="1">
      <c r="A413" s="529" t="s">
        <v>398</v>
      </c>
      <c r="B413" s="480" t="s">
        <v>2344</v>
      </c>
      <c r="C413" s="529" t="s">
        <v>2345</v>
      </c>
      <c r="D413" s="459" t="str">
        <f t="shared" si="17"/>
        <v xml:space="preserve">GNQ Equatorial Guinea </v>
      </c>
      <c r="E413" s="530" t="s">
        <v>2346</v>
      </c>
      <c r="F413" s="460" t="s">
        <v>2347</v>
      </c>
      <c r="G413" s="466" t="s">
        <v>2348</v>
      </c>
      <c r="H413" s="460" t="s">
        <v>2349</v>
      </c>
      <c r="I413" s="460" t="s">
        <v>2350</v>
      </c>
      <c r="J413" s="460" t="str">
        <f t="shared" si="13"/>
        <v>[pt]Äquatorialguinea</v>
      </c>
      <c r="K413" s="460" t="str">
        <f t="shared" si="14"/>
        <v>[gr]Äquatorialguinea</v>
      </c>
      <c r="L413" s="531" t="s">
        <v>398</v>
      </c>
      <c r="M413" s="461" t="str">
        <f t="shared" si="18"/>
        <v/>
      </c>
    </row>
    <row r="414" spans="1:13" ht="15.75" customHeight="1">
      <c r="A414" s="529" t="s">
        <v>400</v>
      </c>
      <c r="B414" s="480" t="s">
        <v>2351</v>
      </c>
      <c r="C414" s="529" t="s">
        <v>2352</v>
      </c>
      <c r="D414" s="459" t="str">
        <f t="shared" si="17"/>
        <v xml:space="preserve">GRC Greece </v>
      </c>
      <c r="E414" s="530" t="s">
        <v>2353</v>
      </c>
      <c r="F414" s="460" t="s">
        <v>2354</v>
      </c>
      <c r="G414" s="466" t="s">
        <v>2355</v>
      </c>
      <c r="H414" s="460" t="s">
        <v>2356</v>
      </c>
      <c r="I414" s="460" t="s">
        <v>2357</v>
      </c>
      <c r="J414" s="460" t="str">
        <f t="shared" si="13"/>
        <v>[pt]Griechenland</v>
      </c>
      <c r="K414" s="460" t="str">
        <f t="shared" si="14"/>
        <v>[gr]Griechenland</v>
      </c>
      <c r="L414" s="531" t="s">
        <v>400</v>
      </c>
      <c r="M414" s="461" t="str">
        <f t="shared" si="18"/>
        <v/>
      </c>
    </row>
    <row r="415" spans="1:13" ht="15.75" customHeight="1">
      <c r="A415" s="529" t="s">
        <v>402</v>
      </c>
      <c r="B415" s="480" t="s">
        <v>2358</v>
      </c>
      <c r="C415" s="529" t="s">
        <v>2359</v>
      </c>
      <c r="D415" s="459" t="str">
        <f t="shared" si="17"/>
        <v xml:space="preserve">GRD Grenada </v>
      </c>
      <c r="E415" s="530" t="s">
        <v>401</v>
      </c>
      <c r="F415" s="460" t="s">
        <v>2360</v>
      </c>
      <c r="G415" s="466" t="s">
        <v>2360</v>
      </c>
      <c r="H415" s="460" t="s">
        <v>2361</v>
      </c>
      <c r="I415" s="460" t="s">
        <v>2362</v>
      </c>
      <c r="J415" s="460" t="str">
        <f t="shared" si="13"/>
        <v>[pt]Grenada</v>
      </c>
      <c r="K415" s="460" t="str">
        <f t="shared" si="14"/>
        <v>[gr]Grenada</v>
      </c>
      <c r="L415" s="531" t="s">
        <v>402</v>
      </c>
      <c r="M415" s="461" t="str">
        <f t="shared" si="18"/>
        <v/>
      </c>
    </row>
    <row r="416" spans="1:13" ht="15.75" customHeight="1">
      <c r="A416" s="529" t="s">
        <v>404</v>
      </c>
      <c r="B416" s="480" t="s">
        <v>2363</v>
      </c>
      <c r="C416" s="529" t="s">
        <v>2364</v>
      </c>
      <c r="D416" s="459" t="str">
        <f t="shared" si="17"/>
        <v xml:space="preserve">GRL Greenland </v>
      </c>
      <c r="E416" s="530" t="s">
        <v>2365</v>
      </c>
      <c r="F416" s="460" t="s">
        <v>2366</v>
      </c>
      <c r="G416" s="466" t="s">
        <v>2367</v>
      </c>
      <c r="H416" s="460" t="s">
        <v>2368</v>
      </c>
      <c r="I416" s="460" t="s">
        <v>2369</v>
      </c>
      <c r="J416" s="460" t="str">
        <f t="shared" si="13"/>
        <v>[pt]Grönland</v>
      </c>
      <c r="K416" s="460" t="str">
        <f t="shared" si="14"/>
        <v>[gr]Grönland</v>
      </c>
      <c r="L416" s="531" t="s">
        <v>404</v>
      </c>
      <c r="M416" s="461" t="str">
        <f t="shared" si="18"/>
        <v/>
      </c>
    </row>
    <row r="417" spans="1:13" ht="15.75" customHeight="1">
      <c r="A417" s="529" t="s">
        <v>406</v>
      </c>
      <c r="B417" s="480" t="s">
        <v>2370</v>
      </c>
      <c r="C417" s="529" t="s">
        <v>2371</v>
      </c>
      <c r="D417" s="459" t="str">
        <f t="shared" si="17"/>
        <v xml:space="preserve">GTM Guatemala </v>
      </c>
      <c r="E417" s="530" t="s">
        <v>405</v>
      </c>
      <c r="F417" s="460" t="s">
        <v>2372</v>
      </c>
      <c r="G417" s="466" t="s">
        <v>2372</v>
      </c>
      <c r="H417" s="460" t="s">
        <v>405</v>
      </c>
      <c r="I417" s="460" t="s">
        <v>2373</v>
      </c>
      <c r="J417" s="460" t="str">
        <f t="shared" si="13"/>
        <v>[pt]Guatemala</v>
      </c>
      <c r="K417" s="460" t="str">
        <f t="shared" si="14"/>
        <v>[gr]Guatemala</v>
      </c>
      <c r="L417" s="531" t="s">
        <v>406</v>
      </c>
      <c r="M417" s="461" t="str">
        <f t="shared" si="18"/>
        <v/>
      </c>
    </row>
    <row r="418" spans="1:13" ht="15.75" customHeight="1">
      <c r="A418" s="529" t="s">
        <v>408</v>
      </c>
      <c r="B418" s="480" t="s">
        <v>2374</v>
      </c>
      <c r="C418" s="529" t="s">
        <v>2375</v>
      </c>
      <c r="D418" s="459" t="str">
        <f t="shared" si="17"/>
        <v xml:space="preserve">GUM Guam </v>
      </c>
      <c r="E418" s="530" t="s">
        <v>407</v>
      </c>
      <c r="F418" s="460" t="s">
        <v>2376</v>
      </c>
      <c r="G418" s="466" t="s">
        <v>2376</v>
      </c>
      <c r="H418" s="460" t="s">
        <v>407</v>
      </c>
      <c r="I418" s="460" t="s">
        <v>407</v>
      </c>
      <c r="J418" s="460" t="str">
        <f t="shared" si="13"/>
        <v>[pt]Guam</v>
      </c>
      <c r="K418" s="460" t="str">
        <f t="shared" si="14"/>
        <v>[gr]Guam</v>
      </c>
      <c r="L418" s="531" t="s">
        <v>408</v>
      </c>
      <c r="M418" s="461" t="str">
        <f t="shared" si="18"/>
        <v/>
      </c>
    </row>
    <row r="419" spans="1:13" ht="15.75" customHeight="1">
      <c r="A419" s="529" t="s">
        <v>410</v>
      </c>
      <c r="B419" s="480" t="s">
        <v>2377</v>
      </c>
      <c r="C419" s="529" t="s">
        <v>2378</v>
      </c>
      <c r="D419" s="459" t="str">
        <f t="shared" si="17"/>
        <v xml:space="preserve">GUY Guyana </v>
      </c>
      <c r="E419" s="530" t="s">
        <v>409</v>
      </c>
      <c r="F419" s="460" t="s">
        <v>2379</v>
      </c>
      <c r="G419" s="466" t="s">
        <v>2379</v>
      </c>
      <c r="H419" s="460" t="s">
        <v>409</v>
      </c>
      <c r="I419" s="460" t="s">
        <v>2380</v>
      </c>
      <c r="J419" s="460" t="str">
        <f t="shared" si="13"/>
        <v>[pt]Guyana</v>
      </c>
      <c r="K419" s="460" t="str">
        <f t="shared" si="14"/>
        <v>[gr]Guyana</v>
      </c>
      <c r="L419" s="531" t="s">
        <v>410</v>
      </c>
      <c r="M419" s="461" t="str">
        <f t="shared" si="18"/>
        <v/>
      </c>
    </row>
    <row r="420" spans="1:13" ht="15.75" customHeight="1">
      <c r="A420" s="529" t="s">
        <v>412</v>
      </c>
      <c r="B420" s="480" t="s">
        <v>2381</v>
      </c>
      <c r="C420" s="529" t="s">
        <v>2382</v>
      </c>
      <c r="D420" s="459" t="str">
        <f t="shared" si="17"/>
        <v xml:space="preserve">HKG Hong Kong </v>
      </c>
      <c r="E420" s="530" t="s">
        <v>2383</v>
      </c>
      <c r="F420" s="460" t="s">
        <v>2384</v>
      </c>
      <c r="G420" s="466" t="s">
        <v>2384</v>
      </c>
      <c r="H420" s="460" t="s">
        <v>2385</v>
      </c>
      <c r="I420" s="460" t="s">
        <v>2385</v>
      </c>
      <c r="J420" s="460" t="str">
        <f t="shared" si="13"/>
        <v>[pt]Hongkong</v>
      </c>
      <c r="K420" s="460" t="str">
        <f t="shared" si="14"/>
        <v>[gr]Hongkong</v>
      </c>
      <c r="L420" s="531" t="s">
        <v>412</v>
      </c>
      <c r="M420" s="461" t="str">
        <f t="shared" si="18"/>
        <v/>
      </c>
    </row>
    <row r="421" spans="1:13" ht="15.75" customHeight="1">
      <c r="A421" s="529" t="s">
        <v>414</v>
      </c>
      <c r="B421" s="480" t="s">
        <v>2386</v>
      </c>
      <c r="C421" s="529" t="s">
        <v>2387</v>
      </c>
      <c r="D421" s="459" t="str">
        <f t="shared" si="17"/>
        <v xml:space="preserve">HND Honduras </v>
      </c>
      <c r="E421" s="530" t="s">
        <v>413</v>
      </c>
      <c r="F421" s="460" t="s">
        <v>2388</v>
      </c>
      <c r="G421" s="466" t="s">
        <v>2388</v>
      </c>
      <c r="H421" s="460" t="s">
        <v>413</v>
      </c>
      <c r="I421" s="460" t="s">
        <v>413</v>
      </c>
      <c r="J421" s="460" t="str">
        <f t="shared" si="13"/>
        <v>[pt]Honduras</v>
      </c>
      <c r="K421" s="460" t="str">
        <f t="shared" si="14"/>
        <v>[gr]Honduras</v>
      </c>
      <c r="L421" s="531" t="s">
        <v>414</v>
      </c>
      <c r="M421" s="461" t="str">
        <f t="shared" si="18"/>
        <v/>
      </c>
    </row>
    <row r="422" spans="1:13" ht="15.75" customHeight="1">
      <c r="A422" s="529" t="s">
        <v>416</v>
      </c>
      <c r="B422" s="480" t="s">
        <v>2389</v>
      </c>
      <c r="C422" s="529" t="s">
        <v>2390</v>
      </c>
      <c r="D422" s="459" t="str">
        <f t="shared" si="17"/>
        <v xml:space="preserve">HRV Croatia </v>
      </c>
      <c r="E422" s="530" t="s">
        <v>2391</v>
      </c>
      <c r="F422" s="460" t="s">
        <v>2392</v>
      </c>
      <c r="G422" s="466" t="s">
        <v>2393</v>
      </c>
      <c r="H422" s="460" t="s">
        <v>2394</v>
      </c>
      <c r="I422" s="460" t="s">
        <v>2395</v>
      </c>
      <c r="J422" s="460" t="str">
        <f t="shared" si="13"/>
        <v>[pt]Kroatien</v>
      </c>
      <c r="K422" s="460" t="str">
        <f t="shared" si="14"/>
        <v>[gr]Kroatien</v>
      </c>
      <c r="L422" s="531" t="s">
        <v>416</v>
      </c>
      <c r="M422" s="461" t="str">
        <f t="shared" si="18"/>
        <v/>
      </c>
    </row>
    <row r="423" spans="1:13" ht="15.75" customHeight="1">
      <c r="A423" s="529" t="s">
        <v>418</v>
      </c>
      <c r="B423" s="480" t="s">
        <v>2396</v>
      </c>
      <c r="C423" s="529" t="s">
        <v>2397</v>
      </c>
      <c r="D423" s="459" t="str">
        <f t="shared" si="17"/>
        <v xml:space="preserve">HTI Haiti </v>
      </c>
      <c r="E423" s="530" t="s">
        <v>417</v>
      </c>
      <c r="F423" s="460" t="s">
        <v>2398</v>
      </c>
      <c r="G423" s="466" t="s">
        <v>2398</v>
      </c>
      <c r="H423" s="460" t="s">
        <v>2399</v>
      </c>
      <c r="I423" s="460" t="s">
        <v>2400</v>
      </c>
      <c r="J423" s="460" t="str">
        <f t="shared" si="13"/>
        <v>[pt]Haiti</v>
      </c>
      <c r="K423" s="460" t="str">
        <f t="shared" si="14"/>
        <v>[gr]Haiti</v>
      </c>
      <c r="L423" s="531" t="s">
        <v>418</v>
      </c>
      <c r="M423" s="461" t="str">
        <f t="shared" si="18"/>
        <v/>
      </c>
    </row>
    <row r="424" spans="1:13" ht="15.75" customHeight="1">
      <c r="A424" s="529" t="s">
        <v>420</v>
      </c>
      <c r="B424" s="480" t="s">
        <v>2401</v>
      </c>
      <c r="C424" s="529" t="s">
        <v>2402</v>
      </c>
      <c r="D424" s="459" t="str">
        <f t="shared" si="17"/>
        <v xml:space="preserve">HUN Hungary </v>
      </c>
      <c r="E424" s="530" t="s">
        <v>2403</v>
      </c>
      <c r="F424" s="460" t="s">
        <v>2404</v>
      </c>
      <c r="G424" s="466" t="s">
        <v>2405</v>
      </c>
      <c r="H424" s="460" t="s">
        <v>2406</v>
      </c>
      <c r="I424" s="460" t="s">
        <v>2407</v>
      </c>
      <c r="J424" s="460" t="str">
        <f t="shared" si="13"/>
        <v>[pt]Ungarn</v>
      </c>
      <c r="K424" s="460" t="str">
        <f t="shared" si="14"/>
        <v>[gr]Ungarn</v>
      </c>
      <c r="L424" s="531" t="s">
        <v>420</v>
      </c>
      <c r="M424" s="461" t="str">
        <f t="shared" si="18"/>
        <v/>
      </c>
    </row>
    <row r="425" spans="1:13" ht="15.75" customHeight="1">
      <c r="A425" s="529" t="s">
        <v>422</v>
      </c>
      <c r="B425" s="480" t="s">
        <v>2408</v>
      </c>
      <c r="C425" s="529" t="s">
        <v>2409</v>
      </c>
      <c r="D425" s="459" t="str">
        <f t="shared" si="17"/>
        <v xml:space="preserve">IDN Indonesia </v>
      </c>
      <c r="E425" s="530" t="s">
        <v>2410</v>
      </c>
      <c r="F425" s="460" t="s">
        <v>2411</v>
      </c>
      <c r="G425" s="532" t="s">
        <v>2411</v>
      </c>
      <c r="H425" s="532" t="s">
        <v>421</v>
      </c>
      <c r="I425" s="532" t="s">
        <v>2412</v>
      </c>
      <c r="J425" s="460" t="str">
        <f t="shared" si="13"/>
        <v>[pt]Indonesien</v>
      </c>
      <c r="K425" s="460" t="str">
        <f t="shared" si="14"/>
        <v>[gr]Indonesien</v>
      </c>
      <c r="L425" s="531" t="s">
        <v>422</v>
      </c>
      <c r="M425" s="461" t="str">
        <f t="shared" si="18"/>
        <v/>
      </c>
    </row>
    <row r="426" spans="1:13" ht="15.75" customHeight="1">
      <c r="A426" s="529" t="s">
        <v>424</v>
      </c>
      <c r="B426" s="480" t="s">
        <v>2413</v>
      </c>
      <c r="C426" s="529" t="s">
        <v>2414</v>
      </c>
      <c r="D426" s="459" t="str">
        <f t="shared" si="17"/>
        <v xml:space="preserve">IMN Isle of Man </v>
      </c>
      <c r="E426" s="457" t="s">
        <v>2415</v>
      </c>
      <c r="F426" s="460" t="s">
        <v>2416</v>
      </c>
      <c r="G426" s="457" t="s">
        <v>2417</v>
      </c>
      <c r="H426" s="457" t="s">
        <v>2418</v>
      </c>
      <c r="I426" s="457" t="s">
        <v>2419</v>
      </c>
      <c r="J426" s="460" t="str">
        <f t="shared" si="13"/>
        <v>[pt]Insel Man</v>
      </c>
      <c r="K426" s="460" t="str">
        <f t="shared" si="14"/>
        <v>[gr]Insel Man</v>
      </c>
      <c r="L426" s="531" t="s">
        <v>424</v>
      </c>
      <c r="M426" s="461" t="str">
        <f t="shared" si="18"/>
        <v/>
      </c>
    </row>
    <row r="427" spans="1:13" ht="15.75" customHeight="1">
      <c r="A427" s="529" t="s">
        <v>426</v>
      </c>
      <c r="B427" s="480" t="s">
        <v>2420</v>
      </c>
      <c r="C427" s="529" t="s">
        <v>2421</v>
      </c>
      <c r="D427" s="459" t="str">
        <f t="shared" si="17"/>
        <v xml:space="preserve">IND India </v>
      </c>
      <c r="E427" s="457" t="s">
        <v>2422</v>
      </c>
      <c r="F427" s="460" t="s">
        <v>2423</v>
      </c>
      <c r="G427" s="457" t="s">
        <v>2423</v>
      </c>
      <c r="H427" s="457" t="s">
        <v>425</v>
      </c>
      <c r="I427" s="457" t="s">
        <v>2424</v>
      </c>
      <c r="J427" s="460" t="str">
        <f t="shared" si="13"/>
        <v>[pt]Indien</v>
      </c>
      <c r="K427" s="460" t="str">
        <f t="shared" si="14"/>
        <v>[gr]Indien</v>
      </c>
      <c r="L427" s="531" t="s">
        <v>426</v>
      </c>
      <c r="M427" s="461" t="str">
        <f t="shared" si="18"/>
        <v/>
      </c>
    </row>
    <row r="428" spans="1:13" ht="15.75" customHeight="1">
      <c r="A428" s="529" t="s">
        <v>428</v>
      </c>
      <c r="B428" s="480" t="s">
        <v>2425</v>
      </c>
      <c r="C428" s="529" t="s">
        <v>2426</v>
      </c>
      <c r="D428" s="459" t="str">
        <f t="shared" si="17"/>
        <v xml:space="preserve">IRL Ireland </v>
      </c>
      <c r="E428" s="530" t="s">
        <v>2427</v>
      </c>
      <c r="F428" s="460" t="s">
        <v>2428</v>
      </c>
      <c r="G428" s="532" t="s">
        <v>2429</v>
      </c>
      <c r="H428" s="532" t="s">
        <v>2430</v>
      </c>
      <c r="I428" s="532" t="s">
        <v>2431</v>
      </c>
      <c r="J428" s="460" t="str">
        <f t="shared" si="13"/>
        <v>[pt]Irland</v>
      </c>
      <c r="K428" s="460" t="str">
        <f t="shared" si="14"/>
        <v>[gr]Irland</v>
      </c>
      <c r="L428" s="531" t="s">
        <v>428</v>
      </c>
      <c r="M428" s="461" t="str">
        <f t="shared" si="18"/>
        <v/>
      </c>
    </row>
    <row r="429" spans="1:13" ht="15.75" customHeight="1">
      <c r="A429" s="529" t="s">
        <v>430</v>
      </c>
      <c r="B429" s="480" t="s">
        <v>2432</v>
      </c>
      <c r="C429" s="529" t="s">
        <v>2433</v>
      </c>
      <c r="D429" s="459" t="str">
        <f t="shared" si="17"/>
        <v xml:space="preserve">IRN Iran, Islamic Republic of </v>
      </c>
      <c r="E429" s="457" t="s">
        <v>2434</v>
      </c>
      <c r="F429" s="460" t="s">
        <v>2435</v>
      </c>
      <c r="G429" s="457" t="s">
        <v>2436</v>
      </c>
      <c r="H429" s="457" t="s">
        <v>2437</v>
      </c>
      <c r="I429" s="457" t="s">
        <v>2438</v>
      </c>
      <c r="J429" s="460" t="str">
        <f t="shared" si="13"/>
        <v>[pt]Iran, Islamische Republik</v>
      </c>
      <c r="K429" s="460" t="str">
        <f t="shared" si="14"/>
        <v>[gr]Iran, Islamische Republik</v>
      </c>
      <c r="L429" s="531" t="s">
        <v>430</v>
      </c>
      <c r="M429" s="461" t="str">
        <f t="shared" si="18"/>
        <v/>
      </c>
    </row>
    <row r="430" spans="1:13" ht="15.75" customHeight="1">
      <c r="A430" s="529" t="s">
        <v>432</v>
      </c>
      <c r="B430" s="480" t="s">
        <v>2439</v>
      </c>
      <c r="C430" s="529" t="s">
        <v>2440</v>
      </c>
      <c r="D430" s="459" t="str">
        <f t="shared" si="17"/>
        <v xml:space="preserve">IRQ Iraq </v>
      </c>
      <c r="E430" s="457" t="s">
        <v>2441</v>
      </c>
      <c r="F430" s="460" t="s">
        <v>2442</v>
      </c>
      <c r="G430" s="457" t="s">
        <v>2442</v>
      </c>
      <c r="H430" s="457" t="s">
        <v>2441</v>
      </c>
      <c r="I430" s="457" t="s">
        <v>2441</v>
      </c>
      <c r="J430" s="460" t="str">
        <f t="shared" si="13"/>
        <v>[pt]Irak</v>
      </c>
      <c r="K430" s="460" t="str">
        <f t="shared" si="14"/>
        <v>[gr]Irak</v>
      </c>
      <c r="L430" s="531" t="s">
        <v>432</v>
      </c>
      <c r="M430" s="461" t="str">
        <f t="shared" si="18"/>
        <v/>
      </c>
    </row>
    <row r="431" spans="1:13" ht="15.75" customHeight="1">
      <c r="A431" s="529" t="s">
        <v>434</v>
      </c>
      <c r="B431" s="480" t="s">
        <v>2443</v>
      </c>
      <c r="C431" s="529" t="s">
        <v>2444</v>
      </c>
      <c r="D431" s="459" t="str">
        <f t="shared" si="17"/>
        <v xml:space="preserve">ISL Iceland </v>
      </c>
      <c r="E431" s="457" t="s">
        <v>2445</v>
      </c>
      <c r="F431" s="460" t="s">
        <v>2446</v>
      </c>
      <c r="G431" s="457" t="s">
        <v>2447</v>
      </c>
      <c r="H431" s="457" t="s">
        <v>2448</v>
      </c>
      <c r="I431" s="457" t="s">
        <v>2449</v>
      </c>
      <c r="J431" s="460" t="str">
        <f t="shared" si="13"/>
        <v>[pt]Island</v>
      </c>
      <c r="K431" s="460" t="str">
        <f t="shared" si="14"/>
        <v>[gr]Island</v>
      </c>
      <c r="L431" s="531" t="s">
        <v>434</v>
      </c>
      <c r="M431" s="461" t="str">
        <f t="shared" si="18"/>
        <v/>
      </c>
    </row>
    <row r="432" spans="1:13" ht="15.75" customHeight="1">
      <c r="A432" s="529" t="s">
        <v>436</v>
      </c>
      <c r="B432" s="480" t="s">
        <v>2450</v>
      </c>
      <c r="C432" s="529" t="s">
        <v>2451</v>
      </c>
      <c r="D432" s="459" t="str">
        <f t="shared" si="17"/>
        <v xml:space="preserve">ISR Israel </v>
      </c>
      <c r="E432" s="457" t="s">
        <v>435</v>
      </c>
      <c r="F432" s="460" t="s">
        <v>2452</v>
      </c>
      <c r="G432" s="457" t="s">
        <v>2453</v>
      </c>
      <c r="H432" s="457" t="s">
        <v>435</v>
      </c>
      <c r="I432" s="457" t="s">
        <v>2454</v>
      </c>
      <c r="J432" s="460" t="str">
        <f t="shared" si="13"/>
        <v>[pt]Israel</v>
      </c>
      <c r="K432" s="460" t="str">
        <f t="shared" si="14"/>
        <v>[gr]Israel</v>
      </c>
      <c r="L432" s="531" t="s">
        <v>436</v>
      </c>
      <c r="M432" s="461" t="str">
        <f t="shared" si="18"/>
        <v/>
      </c>
    </row>
    <row r="433" spans="1:13" ht="15.75" customHeight="1">
      <c r="A433" s="529" t="s">
        <v>438</v>
      </c>
      <c r="B433" s="480" t="s">
        <v>2455</v>
      </c>
      <c r="C433" s="529" t="s">
        <v>2456</v>
      </c>
      <c r="D433" s="459" t="str">
        <f t="shared" si="17"/>
        <v xml:space="preserve">ITA Italy </v>
      </c>
      <c r="E433" s="457" t="s">
        <v>2457</v>
      </c>
      <c r="F433" s="460" t="s">
        <v>2458</v>
      </c>
      <c r="G433" s="457" t="s">
        <v>2459</v>
      </c>
      <c r="H433" s="457" t="s">
        <v>2460</v>
      </c>
      <c r="I433" s="457" t="s">
        <v>2461</v>
      </c>
      <c r="J433" s="460" t="str">
        <f t="shared" si="13"/>
        <v>[pt]Italien</v>
      </c>
      <c r="K433" s="460" t="str">
        <f t="shared" si="14"/>
        <v>[gr]Italien</v>
      </c>
      <c r="L433" s="531" t="s">
        <v>438</v>
      </c>
      <c r="M433" s="461" t="str">
        <f t="shared" si="18"/>
        <v/>
      </c>
    </row>
    <row r="434" spans="1:13" ht="15.75" customHeight="1">
      <c r="A434" s="529" t="s">
        <v>440</v>
      </c>
      <c r="B434" s="480" t="s">
        <v>2462</v>
      </c>
      <c r="C434" s="529" t="s">
        <v>2463</v>
      </c>
      <c r="D434" s="459" t="str">
        <f t="shared" si="17"/>
        <v xml:space="preserve">JAM Jamaica </v>
      </c>
      <c r="E434" s="457" t="s">
        <v>2464</v>
      </c>
      <c r="F434" s="460" t="s">
        <v>2465</v>
      </c>
      <c r="G434" s="457" t="s">
        <v>2466</v>
      </c>
      <c r="H434" s="457" t="s">
        <v>439</v>
      </c>
      <c r="I434" s="457" t="s">
        <v>2467</v>
      </c>
      <c r="J434" s="460" t="str">
        <f t="shared" si="13"/>
        <v>[pt]Jamaika</v>
      </c>
      <c r="K434" s="460" t="str">
        <f t="shared" si="14"/>
        <v>[gr]Jamaika</v>
      </c>
      <c r="L434" s="531" t="s">
        <v>440</v>
      </c>
      <c r="M434" s="461" t="str">
        <f t="shared" si="18"/>
        <v/>
      </c>
    </row>
    <row r="435" spans="1:13" ht="15.75" customHeight="1">
      <c r="A435" s="529" t="s">
        <v>442</v>
      </c>
      <c r="B435" s="480" t="s">
        <v>2468</v>
      </c>
      <c r="C435" s="529" t="s">
        <v>2469</v>
      </c>
      <c r="D435" s="459" t="str">
        <f t="shared" si="17"/>
        <v xml:space="preserve">JOR Jordan </v>
      </c>
      <c r="E435" s="457" t="s">
        <v>2470</v>
      </c>
      <c r="F435" s="460" t="s">
        <v>2471</v>
      </c>
      <c r="G435" s="457" t="s">
        <v>2472</v>
      </c>
      <c r="H435" s="457" t="s">
        <v>2473</v>
      </c>
      <c r="I435" s="457" t="s">
        <v>2474</v>
      </c>
      <c r="J435" s="460" t="str">
        <f t="shared" si="13"/>
        <v>[pt]Jordanien</v>
      </c>
      <c r="K435" s="460" t="str">
        <f t="shared" si="14"/>
        <v>[gr]Jordanien</v>
      </c>
      <c r="L435" s="531" t="s">
        <v>442</v>
      </c>
      <c r="M435" s="461" t="str">
        <f t="shared" si="18"/>
        <v/>
      </c>
    </row>
    <row r="436" spans="1:13" ht="15.75" customHeight="1">
      <c r="A436" s="529" t="s">
        <v>444</v>
      </c>
      <c r="B436" s="480" t="s">
        <v>2475</v>
      </c>
      <c r="C436" s="529" t="s">
        <v>2476</v>
      </c>
      <c r="D436" s="459" t="str">
        <f t="shared" si="17"/>
        <v xml:space="preserve">JPN Japan </v>
      </c>
      <c r="E436" s="457" t="s">
        <v>443</v>
      </c>
      <c r="F436" s="460" t="s">
        <v>2477</v>
      </c>
      <c r="G436" s="457" t="s">
        <v>2478</v>
      </c>
      <c r="H436" s="457" t="s">
        <v>2479</v>
      </c>
      <c r="I436" s="457" t="s">
        <v>2480</v>
      </c>
      <c r="J436" s="460" t="str">
        <f t="shared" si="13"/>
        <v>[pt]Japan</v>
      </c>
      <c r="K436" s="460" t="str">
        <f t="shared" si="14"/>
        <v>[gr]Japan</v>
      </c>
      <c r="L436" s="531" t="s">
        <v>444</v>
      </c>
      <c r="M436" s="461" t="str">
        <f t="shared" si="18"/>
        <v/>
      </c>
    </row>
    <row r="437" spans="1:13" ht="15.75" customHeight="1">
      <c r="A437" s="529" t="s">
        <v>446</v>
      </c>
      <c r="B437" s="480" t="s">
        <v>2481</v>
      </c>
      <c r="C437" s="529" t="s">
        <v>2482</v>
      </c>
      <c r="D437" s="459" t="str">
        <f t="shared" si="17"/>
        <v xml:space="preserve">KAZ Kazakhstan </v>
      </c>
      <c r="E437" s="457" t="s">
        <v>2483</v>
      </c>
      <c r="F437" s="460" t="s">
        <v>2484</v>
      </c>
      <c r="G437" s="457" t="s">
        <v>2485</v>
      </c>
      <c r="H437" s="457" t="s">
        <v>2486</v>
      </c>
      <c r="I437" s="457" t="s">
        <v>445</v>
      </c>
      <c r="J437" s="460" t="str">
        <f t="shared" si="13"/>
        <v>[pt]Kasachstan</v>
      </c>
      <c r="K437" s="460" t="str">
        <f t="shared" si="14"/>
        <v>[gr]Kasachstan</v>
      </c>
      <c r="L437" s="531" t="s">
        <v>446</v>
      </c>
      <c r="M437" s="461" t="str">
        <f t="shared" si="18"/>
        <v/>
      </c>
    </row>
    <row r="438" spans="1:13" ht="15.75" customHeight="1">
      <c r="A438" s="529" t="s">
        <v>448</v>
      </c>
      <c r="B438" s="480" t="s">
        <v>2487</v>
      </c>
      <c r="C438" s="529" t="s">
        <v>2488</v>
      </c>
      <c r="D438" s="459" t="str">
        <f t="shared" si="17"/>
        <v xml:space="preserve">KEN Kenya </v>
      </c>
      <c r="E438" s="457" t="s">
        <v>2489</v>
      </c>
      <c r="F438" s="460" t="s">
        <v>2490</v>
      </c>
      <c r="G438" s="457" t="s">
        <v>2490</v>
      </c>
      <c r="H438" s="457" t="s">
        <v>2489</v>
      </c>
      <c r="I438" s="457" t="s">
        <v>447</v>
      </c>
      <c r="J438" s="460" t="str">
        <f t="shared" si="13"/>
        <v>[pt]Kenia</v>
      </c>
      <c r="K438" s="460" t="str">
        <f t="shared" si="14"/>
        <v>[gr]Kenia</v>
      </c>
      <c r="L438" s="531" t="s">
        <v>448</v>
      </c>
      <c r="M438" s="461" t="str">
        <f t="shared" si="18"/>
        <v/>
      </c>
    </row>
    <row r="439" spans="1:13" ht="15.75" customHeight="1">
      <c r="A439" s="529" t="s">
        <v>450</v>
      </c>
      <c r="B439" s="480" t="s">
        <v>2491</v>
      </c>
      <c r="C439" s="529" t="s">
        <v>2492</v>
      </c>
      <c r="D439" s="459" t="str">
        <f t="shared" si="17"/>
        <v xml:space="preserve">KGZ Kyrgyzstan </v>
      </c>
      <c r="E439" s="457" t="s">
        <v>2493</v>
      </c>
      <c r="F439" s="460" t="s">
        <v>2494</v>
      </c>
      <c r="G439" s="457" t="s">
        <v>2495</v>
      </c>
      <c r="H439" s="457" t="s">
        <v>2496</v>
      </c>
      <c r="I439" s="457" t="s">
        <v>2497</v>
      </c>
      <c r="J439" s="460" t="str">
        <f t="shared" si="13"/>
        <v>[pt]Kirgisistan</v>
      </c>
      <c r="K439" s="460" t="str">
        <f t="shared" si="14"/>
        <v>[gr]Kirgisistan</v>
      </c>
      <c r="L439" s="531" t="s">
        <v>450</v>
      </c>
      <c r="M439" s="461" t="str">
        <f t="shared" si="18"/>
        <v/>
      </c>
    </row>
    <row r="440" spans="1:13" ht="15.75" customHeight="1">
      <c r="A440" s="529" t="s">
        <v>452</v>
      </c>
      <c r="B440" s="480" t="s">
        <v>2498</v>
      </c>
      <c r="C440" s="529" t="s">
        <v>2499</v>
      </c>
      <c r="D440" s="459" t="str">
        <f t="shared" si="17"/>
        <v xml:space="preserve">KHM Cambodia </v>
      </c>
      <c r="E440" s="457" t="s">
        <v>2500</v>
      </c>
      <c r="F440" s="460" t="s">
        <v>2501</v>
      </c>
      <c r="G440" s="457" t="s">
        <v>2502</v>
      </c>
      <c r="H440" s="457" t="s">
        <v>2503</v>
      </c>
      <c r="I440" s="457" t="s">
        <v>2504</v>
      </c>
      <c r="J440" s="460" t="str">
        <f t="shared" si="13"/>
        <v>[pt]Kambodscha</v>
      </c>
      <c r="K440" s="460" t="str">
        <f t="shared" si="14"/>
        <v>[gr]Kambodscha</v>
      </c>
      <c r="L440" s="531" t="s">
        <v>452</v>
      </c>
      <c r="M440" s="461" t="str">
        <f t="shared" si="18"/>
        <v/>
      </c>
    </row>
    <row r="441" spans="1:13" ht="28.5" customHeight="1">
      <c r="A441" s="529" t="s">
        <v>454</v>
      </c>
      <c r="B441" s="480" t="s">
        <v>2505</v>
      </c>
      <c r="C441" s="529" t="s">
        <v>2506</v>
      </c>
      <c r="D441" s="459" t="str">
        <f t="shared" si="17"/>
        <v xml:space="preserve">KIR Kiribati </v>
      </c>
      <c r="E441" s="457" t="s">
        <v>453</v>
      </c>
      <c r="F441" s="460" t="s">
        <v>2507</v>
      </c>
      <c r="G441" s="457" t="s">
        <v>2507</v>
      </c>
      <c r="H441" s="457" t="s">
        <v>453</v>
      </c>
      <c r="I441" s="457" t="s">
        <v>453</v>
      </c>
      <c r="J441" s="460" t="str">
        <f t="shared" si="13"/>
        <v>[pt]Kiribati</v>
      </c>
      <c r="K441" s="460" t="str">
        <f t="shared" si="14"/>
        <v>[gr]Kiribati</v>
      </c>
      <c r="L441" s="531" t="s">
        <v>454</v>
      </c>
      <c r="M441" s="461" t="str">
        <f t="shared" si="18"/>
        <v/>
      </c>
    </row>
    <row r="442" spans="1:13" ht="15.75" customHeight="1">
      <c r="A442" s="529" t="s">
        <v>456</v>
      </c>
      <c r="B442" s="480" t="s">
        <v>2508</v>
      </c>
      <c r="C442" s="529" t="s">
        <v>2509</v>
      </c>
      <c r="D442" s="459" t="str">
        <f t="shared" si="17"/>
        <v xml:space="preserve">KNA Saint Kitts and Nevis </v>
      </c>
      <c r="E442" s="457" t="s">
        <v>2510</v>
      </c>
      <c r="F442" s="460" t="s">
        <v>2511</v>
      </c>
      <c r="G442" s="457" t="s">
        <v>2512</v>
      </c>
      <c r="H442" s="457" t="s">
        <v>2513</v>
      </c>
      <c r="I442" s="457" t="s">
        <v>2514</v>
      </c>
      <c r="J442" s="460" t="str">
        <f t="shared" si="13"/>
        <v>[pt]St. Kitts und Nevis</v>
      </c>
      <c r="K442" s="460" t="str">
        <f t="shared" si="14"/>
        <v>[gr]St. Kitts und Nevis</v>
      </c>
      <c r="L442" s="531" t="s">
        <v>456</v>
      </c>
      <c r="M442" s="461" t="str">
        <f t="shared" si="18"/>
        <v/>
      </c>
    </row>
    <row r="443" spans="1:13" ht="15.75" customHeight="1">
      <c r="A443" s="529" t="s">
        <v>458</v>
      </c>
      <c r="B443" s="480" t="s">
        <v>2515</v>
      </c>
      <c r="C443" s="529" t="s">
        <v>2516</v>
      </c>
      <c r="D443" s="459" t="str">
        <f t="shared" si="17"/>
        <v xml:space="preserve">KOR Korea, Republic of </v>
      </c>
      <c r="E443" s="457" t="s">
        <v>2517</v>
      </c>
      <c r="F443" s="460" t="s">
        <v>2518</v>
      </c>
      <c r="G443" s="457" t="s">
        <v>2519</v>
      </c>
      <c r="H443" s="457" t="s">
        <v>2520</v>
      </c>
      <c r="I443" s="457" t="s">
        <v>2521</v>
      </c>
      <c r="J443" s="460" t="str">
        <f t="shared" si="13"/>
        <v>[pt]Korea, Republik (Südkorea)</v>
      </c>
      <c r="K443" s="460" t="str">
        <f t="shared" si="14"/>
        <v>[gr]Korea, Republik (Südkorea)</v>
      </c>
      <c r="L443" s="531" t="s">
        <v>458</v>
      </c>
      <c r="M443" s="461" t="str">
        <f t="shared" si="18"/>
        <v/>
      </c>
    </row>
    <row r="444" spans="1:13" ht="15.75" customHeight="1">
      <c r="A444" s="529" t="s">
        <v>460</v>
      </c>
      <c r="B444" s="480" t="s">
        <v>2522</v>
      </c>
      <c r="C444" s="529" t="s">
        <v>2523</v>
      </c>
      <c r="D444" s="459" t="str">
        <f t="shared" si="17"/>
        <v xml:space="preserve">KWT Kuwait </v>
      </c>
      <c r="E444" s="457" t="s">
        <v>459</v>
      </c>
      <c r="F444" s="460" t="s">
        <v>2524</v>
      </c>
      <c r="G444" s="457" t="s">
        <v>2524</v>
      </c>
      <c r="H444" s="457" t="s">
        <v>459</v>
      </c>
      <c r="I444" s="457" t="s">
        <v>2525</v>
      </c>
      <c r="J444" s="460" t="str">
        <f t="shared" si="13"/>
        <v>[pt]Kuwait</v>
      </c>
      <c r="K444" s="460" t="str">
        <f t="shared" si="14"/>
        <v>[gr]Kuwait</v>
      </c>
      <c r="L444" s="531" t="s">
        <v>460</v>
      </c>
      <c r="M444" s="461" t="str">
        <f t="shared" si="18"/>
        <v/>
      </c>
    </row>
    <row r="445" spans="1:13" ht="15.75" customHeight="1">
      <c r="A445" s="529" t="s">
        <v>462</v>
      </c>
      <c r="B445" s="480" t="s">
        <v>2526</v>
      </c>
      <c r="C445" s="529" t="s">
        <v>2527</v>
      </c>
      <c r="D445" s="459" t="str">
        <f t="shared" si="17"/>
        <v xml:space="preserve">LAO Lao People's Democratic Republic </v>
      </c>
      <c r="E445" s="457" t="s">
        <v>2528</v>
      </c>
      <c r="F445" s="460" t="s">
        <v>2529</v>
      </c>
      <c r="G445" s="457" t="s">
        <v>2530</v>
      </c>
      <c r="H445" s="457" t="s">
        <v>2531</v>
      </c>
      <c r="I445" s="457" t="s">
        <v>2531</v>
      </c>
      <c r="J445" s="460" t="str">
        <f t="shared" si="13"/>
        <v>[pt]Laos, Demokratische Volksrepublik</v>
      </c>
      <c r="K445" s="460" t="str">
        <f t="shared" si="14"/>
        <v>[gr]Laos, Demokratische Volksrepublik</v>
      </c>
      <c r="L445" s="531" t="s">
        <v>462</v>
      </c>
      <c r="M445" s="461" t="str">
        <f t="shared" si="18"/>
        <v/>
      </c>
    </row>
    <row r="446" spans="1:13" ht="15.75" customHeight="1">
      <c r="A446" s="529" t="s">
        <v>464</v>
      </c>
      <c r="B446" s="480" t="s">
        <v>2532</v>
      </c>
      <c r="C446" s="529" t="s">
        <v>2533</v>
      </c>
      <c r="D446" s="459" t="str">
        <f t="shared" si="17"/>
        <v xml:space="preserve">LBN Lebanon </v>
      </c>
      <c r="E446" s="457" t="s">
        <v>2534</v>
      </c>
      <c r="F446" s="460" t="s">
        <v>2535</v>
      </c>
      <c r="G446" s="457" t="s">
        <v>2536</v>
      </c>
      <c r="H446" s="457" t="s">
        <v>2537</v>
      </c>
      <c r="I446" s="457" t="s">
        <v>2538</v>
      </c>
      <c r="J446" s="460" t="str">
        <f t="shared" si="13"/>
        <v>[pt]Libanon</v>
      </c>
      <c r="K446" s="460" t="str">
        <f t="shared" si="14"/>
        <v>[gr]Libanon</v>
      </c>
      <c r="L446" s="531" t="s">
        <v>464</v>
      </c>
      <c r="M446" s="461" t="str">
        <f t="shared" si="18"/>
        <v/>
      </c>
    </row>
    <row r="447" spans="1:13" ht="15.75" customHeight="1">
      <c r="A447" s="529" t="s">
        <v>466</v>
      </c>
      <c r="B447" s="480" t="s">
        <v>2539</v>
      </c>
      <c r="C447" s="529" t="s">
        <v>2540</v>
      </c>
      <c r="D447" s="459" t="str">
        <f t="shared" si="17"/>
        <v xml:space="preserve">LBR Liberia </v>
      </c>
      <c r="E447" s="457" t="s">
        <v>465</v>
      </c>
      <c r="F447" s="460" t="s">
        <v>2541</v>
      </c>
      <c r="G447" s="457" t="s">
        <v>2541</v>
      </c>
      <c r="H447" s="457" t="s">
        <v>465</v>
      </c>
      <c r="I447" s="457" t="s">
        <v>2542</v>
      </c>
      <c r="J447" s="460" t="str">
        <f t="shared" si="13"/>
        <v>[pt]Liberia</v>
      </c>
      <c r="K447" s="460" t="str">
        <f t="shared" si="14"/>
        <v>[gr]Liberia</v>
      </c>
      <c r="L447" s="531" t="s">
        <v>466</v>
      </c>
      <c r="M447" s="461" t="str">
        <f t="shared" si="18"/>
        <v/>
      </c>
    </row>
    <row r="448" spans="1:13" ht="15.75" customHeight="1">
      <c r="A448" s="529" t="s">
        <v>468</v>
      </c>
      <c r="B448" s="480" t="s">
        <v>2543</v>
      </c>
      <c r="C448" s="529" t="s">
        <v>2544</v>
      </c>
      <c r="D448" s="459" t="str">
        <f t="shared" si="17"/>
        <v xml:space="preserve">LBY Libya </v>
      </c>
      <c r="E448" s="457" t="s">
        <v>2545</v>
      </c>
      <c r="F448" s="460" t="s">
        <v>2546</v>
      </c>
      <c r="G448" s="457" t="s">
        <v>2547</v>
      </c>
      <c r="H448" s="457" t="s">
        <v>2548</v>
      </c>
      <c r="I448" s="457" t="s">
        <v>2549</v>
      </c>
      <c r="J448" s="460" t="str">
        <f t="shared" si="13"/>
        <v>[pt]Libyen</v>
      </c>
      <c r="K448" s="460" t="str">
        <f t="shared" si="14"/>
        <v>[gr]Libyen</v>
      </c>
      <c r="L448" s="531" t="s">
        <v>468</v>
      </c>
      <c r="M448" s="461" t="str">
        <f t="shared" si="18"/>
        <v/>
      </c>
    </row>
    <row r="449" spans="1:13" ht="15.75" customHeight="1">
      <c r="A449" s="529" t="s">
        <v>470</v>
      </c>
      <c r="B449" s="480" t="s">
        <v>2550</v>
      </c>
      <c r="C449" s="529" t="s">
        <v>2551</v>
      </c>
      <c r="D449" s="459" t="str">
        <f t="shared" si="17"/>
        <v xml:space="preserve">LCA Saint Lucia </v>
      </c>
      <c r="E449" s="457" t="s">
        <v>469</v>
      </c>
      <c r="F449" s="460" t="s">
        <v>2552</v>
      </c>
      <c r="G449" s="457" t="s">
        <v>2553</v>
      </c>
      <c r="H449" s="457" t="s">
        <v>2554</v>
      </c>
      <c r="I449" s="457" t="s">
        <v>2555</v>
      </c>
      <c r="J449" s="460" t="str">
        <f t="shared" si="13"/>
        <v>[pt]St. Lucia</v>
      </c>
      <c r="K449" s="460" t="str">
        <f t="shared" si="14"/>
        <v>[gr]St. Lucia</v>
      </c>
      <c r="L449" s="531" t="s">
        <v>470</v>
      </c>
      <c r="M449" s="461" t="str">
        <f t="shared" si="18"/>
        <v/>
      </c>
    </row>
    <row r="450" spans="1:13" ht="15.75" customHeight="1">
      <c r="A450" s="529" t="s">
        <v>472</v>
      </c>
      <c r="B450" s="480" t="s">
        <v>2556</v>
      </c>
      <c r="C450" s="529" t="s">
        <v>2557</v>
      </c>
      <c r="D450" s="459" t="str">
        <f t="shared" si="17"/>
        <v xml:space="preserve">LIE Liechtenstein </v>
      </c>
      <c r="E450" s="457" t="s">
        <v>471</v>
      </c>
      <c r="F450" s="460" t="s">
        <v>2558</v>
      </c>
      <c r="G450" s="457" t="s">
        <v>2558</v>
      </c>
      <c r="H450" s="457" t="s">
        <v>471</v>
      </c>
      <c r="I450" s="457" t="s">
        <v>471</v>
      </c>
      <c r="J450" s="460" t="str">
        <f t="shared" si="13"/>
        <v>[pt]Liechtenstein</v>
      </c>
      <c r="K450" s="460" t="str">
        <f t="shared" si="14"/>
        <v>[gr]Liechtenstein</v>
      </c>
      <c r="L450" s="531" t="s">
        <v>472</v>
      </c>
      <c r="M450" s="461" t="str">
        <f t="shared" si="18"/>
        <v/>
      </c>
    </row>
    <row r="451" spans="1:13" ht="15.75" customHeight="1">
      <c r="A451" s="529" t="s">
        <v>474</v>
      </c>
      <c r="B451" s="480" t="s">
        <v>2559</v>
      </c>
      <c r="C451" s="529" t="s">
        <v>2560</v>
      </c>
      <c r="D451" s="459" t="str">
        <f t="shared" si="17"/>
        <v xml:space="preserve">LKA Sri Lanka </v>
      </c>
      <c r="E451" s="457" t="s">
        <v>473</v>
      </c>
      <c r="F451" s="460" t="s">
        <v>2561</v>
      </c>
      <c r="G451" s="457" t="s">
        <v>2561</v>
      </c>
      <c r="H451" s="457" t="s">
        <v>473</v>
      </c>
      <c r="I451" s="457" t="s">
        <v>473</v>
      </c>
      <c r="J451" s="460" t="str">
        <f t="shared" si="13"/>
        <v>[pt]Sri Lanka</v>
      </c>
      <c r="K451" s="460" t="str">
        <f t="shared" si="14"/>
        <v>[gr]Sri Lanka</v>
      </c>
      <c r="L451" s="531" t="s">
        <v>474</v>
      </c>
      <c r="M451" s="461" t="str">
        <f t="shared" si="18"/>
        <v/>
      </c>
    </row>
    <row r="452" spans="1:13" ht="15.75" customHeight="1">
      <c r="A452" s="529" t="s">
        <v>476</v>
      </c>
      <c r="B452" s="480" t="s">
        <v>2562</v>
      </c>
      <c r="C452" s="529" t="s">
        <v>2563</v>
      </c>
      <c r="D452" s="459" t="str">
        <f t="shared" si="17"/>
        <v xml:space="preserve">LSO Lesotho </v>
      </c>
      <c r="E452" s="457" t="s">
        <v>475</v>
      </c>
      <c r="F452" s="460" t="s">
        <v>2564</v>
      </c>
      <c r="G452" s="457" t="s">
        <v>2564</v>
      </c>
      <c r="H452" s="457" t="s">
        <v>2565</v>
      </c>
      <c r="I452" s="457" t="s">
        <v>475</v>
      </c>
      <c r="J452" s="460" t="str">
        <f t="shared" si="13"/>
        <v>[pt]Lesotho</v>
      </c>
      <c r="K452" s="460" t="str">
        <f t="shared" si="14"/>
        <v>[gr]Lesotho</v>
      </c>
      <c r="L452" s="531" t="s">
        <v>476</v>
      </c>
      <c r="M452" s="461" t="str">
        <f t="shared" si="18"/>
        <v/>
      </c>
    </row>
    <row r="453" spans="1:13" ht="15.75" customHeight="1">
      <c r="A453" s="529" t="s">
        <v>478</v>
      </c>
      <c r="B453" s="480" t="s">
        <v>2566</v>
      </c>
      <c r="C453" s="529" t="s">
        <v>2567</v>
      </c>
      <c r="D453" s="459" t="str">
        <f t="shared" si="17"/>
        <v xml:space="preserve">LTU Lithuania </v>
      </c>
      <c r="E453" s="457" t="s">
        <v>2568</v>
      </c>
      <c r="F453" s="460" t="s">
        <v>2569</v>
      </c>
      <c r="G453" s="457" t="s">
        <v>2570</v>
      </c>
      <c r="H453" s="457" t="s">
        <v>2571</v>
      </c>
      <c r="I453" s="457" t="s">
        <v>2572</v>
      </c>
      <c r="J453" s="460" t="str">
        <f t="shared" si="13"/>
        <v>[pt]Litauen</v>
      </c>
      <c r="K453" s="460" t="str">
        <f t="shared" si="14"/>
        <v>[gr]Litauen</v>
      </c>
      <c r="L453" s="531" t="s">
        <v>478</v>
      </c>
      <c r="M453" s="461" t="str">
        <f t="shared" si="18"/>
        <v/>
      </c>
    </row>
    <row r="454" spans="1:13" ht="15.75" customHeight="1">
      <c r="A454" s="529" t="s">
        <v>480</v>
      </c>
      <c r="B454" s="480" t="s">
        <v>2573</v>
      </c>
      <c r="C454" s="529" t="s">
        <v>2574</v>
      </c>
      <c r="D454" s="459" t="str">
        <f t="shared" si="17"/>
        <v xml:space="preserve">LUX Luxembourg </v>
      </c>
      <c r="E454" s="457" t="s">
        <v>2575</v>
      </c>
      <c r="F454" s="460" t="s">
        <v>2576</v>
      </c>
      <c r="G454" s="457" t="s">
        <v>2577</v>
      </c>
      <c r="H454" s="457" t="s">
        <v>2578</v>
      </c>
      <c r="I454" s="457" t="s">
        <v>479</v>
      </c>
      <c r="J454" s="460" t="str">
        <f t="shared" si="13"/>
        <v>[pt]Luxemburg</v>
      </c>
      <c r="K454" s="460" t="str">
        <f t="shared" si="14"/>
        <v>[gr]Luxemburg</v>
      </c>
      <c r="L454" s="531" t="s">
        <v>480</v>
      </c>
      <c r="M454" s="461" t="str">
        <f t="shared" si="18"/>
        <v/>
      </c>
    </row>
    <row r="455" spans="1:13" ht="15.75" customHeight="1">
      <c r="A455" s="529" t="s">
        <v>482</v>
      </c>
      <c r="B455" s="480" t="s">
        <v>2579</v>
      </c>
      <c r="C455" s="529" t="s">
        <v>2580</v>
      </c>
      <c r="D455" s="459" t="str">
        <f t="shared" si="17"/>
        <v xml:space="preserve">LVA Latvia </v>
      </c>
      <c r="E455" s="457" t="s">
        <v>2581</v>
      </c>
      <c r="F455" s="460" t="s">
        <v>2582</v>
      </c>
      <c r="G455" s="457" t="s">
        <v>2583</v>
      </c>
      <c r="H455" s="457" t="s">
        <v>2584</v>
      </c>
      <c r="I455" s="457" t="s">
        <v>2585</v>
      </c>
      <c r="J455" s="460" t="str">
        <f t="shared" si="13"/>
        <v>[pt]Lettland</v>
      </c>
      <c r="K455" s="460" t="str">
        <f t="shared" si="14"/>
        <v>[gr]Lettland</v>
      </c>
      <c r="L455" s="531" t="s">
        <v>482</v>
      </c>
      <c r="M455" s="461" t="str">
        <f t="shared" si="18"/>
        <v/>
      </c>
    </row>
    <row r="456" spans="1:13" ht="15.75" customHeight="1">
      <c r="A456" s="529" t="s">
        <v>484</v>
      </c>
      <c r="B456" s="480" t="s">
        <v>2586</v>
      </c>
      <c r="C456" s="529" t="s">
        <v>2587</v>
      </c>
      <c r="D456" s="459" t="str">
        <f t="shared" si="17"/>
        <v xml:space="preserve">MAC Macao </v>
      </c>
      <c r="E456" s="457" t="s">
        <v>2588</v>
      </c>
      <c r="F456" s="460" t="s">
        <v>2589</v>
      </c>
      <c r="G456" s="457" t="s">
        <v>2589</v>
      </c>
      <c r="H456" s="457" t="s">
        <v>2588</v>
      </c>
      <c r="I456" s="457" t="s">
        <v>2588</v>
      </c>
      <c r="J456" s="460" t="str">
        <f t="shared" si="13"/>
        <v>[pt]Macao</v>
      </c>
      <c r="K456" s="460" t="str">
        <f t="shared" si="14"/>
        <v>[gr]Macao</v>
      </c>
      <c r="L456" s="531" t="s">
        <v>484</v>
      </c>
      <c r="M456" s="461" t="str">
        <f t="shared" si="18"/>
        <v/>
      </c>
    </row>
    <row r="457" spans="1:13" ht="15.75" customHeight="1">
      <c r="A457" s="529" t="s">
        <v>486</v>
      </c>
      <c r="B457" s="480" t="s">
        <v>2590</v>
      </c>
      <c r="C457" s="529" t="s">
        <v>2591</v>
      </c>
      <c r="D457" s="459" t="str">
        <f t="shared" si="17"/>
        <v xml:space="preserve">MAF Saint Martin (French part) </v>
      </c>
      <c r="E457" s="457" t="s">
        <v>2592</v>
      </c>
      <c r="F457" s="460" t="s">
        <v>2593</v>
      </c>
      <c r="G457" s="457" t="s">
        <v>2594</v>
      </c>
      <c r="H457" s="457" t="s">
        <v>2595</v>
      </c>
      <c r="I457" s="457" t="s">
        <v>2596</v>
      </c>
      <c r="J457" s="460" t="str">
        <f t="shared" ref="J457:J488" si="19">"[pt]"&amp;E457</f>
        <v>[pt]Saint-Martin (franz. Teil)</v>
      </c>
      <c r="K457" s="460" t="str">
        <f t="shared" ref="K457:K488" si="20">"[gr]"&amp;E457</f>
        <v>[gr]Saint-Martin (franz. Teil)</v>
      </c>
      <c r="L457" s="531" t="s">
        <v>486</v>
      </c>
      <c r="M457" s="461" t="str">
        <f t="shared" si="18"/>
        <v/>
      </c>
    </row>
    <row r="458" spans="1:13" ht="15.75" customHeight="1">
      <c r="A458" s="529" t="s">
        <v>488</v>
      </c>
      <c r="B458" s="480" t="s">
        <v>2597</v>
      </c>
      <c r="C458" s="529" t="s">
        <v>2598</v>
      </c>
      <c r="D458" s="459" t="str">
        <f t="shared" si="17"/>
        <v xml:space="preserve">MAR Morocco </v>
      </c>
      <c r="E458" s="457" t="s">
        <v>2599</v>
      </c>
      <c r="F458" s="460" t="s">
        <v>2600</v>
      </c>
      <c r="G458" s="457" t="s">
        <v>2601</v>
      </c>
      <c r="H458" s="457" t="s">
        <v>2602</v>
      </c>
      <c r="I458" s="457" t="s">
        <v>2603</v>
      </c>
      <c r="J458" s="460" t="str">
        <f t="shared" si="19"/>
        <v>[pt]Marokko</v>
      </c>
      <c r="K458" s="460" t="str">
        <f t="shared" si="20"/>
        <v>[gr]Marokko</v>
      </c>
      <c r="L458" s="531" t="s">
        <v>488</v>
      </c>
      <c r="M458" s="461" t="str">
        <f t="shared" si="18"/>
        <v/>
      </c>
    </row>
    <row r="459" spans="1:13" ht="15.75" customHeight="1">
      <c r="A459" s="529" t="s">
        <v>490</v>
      </c>
      <c r="B459" s="480" t="s">
        <v>2604</v>
      </c>
      <c r="C459" s="529" t="s">
        <v>2605</v>
      </c>
      <c r="D459" s="459" t="str">
        <f t="shared" si="17"/>
        <v xml:space="preserve">MCO Monaco </v>
      </c>
      <c r="E459" s="457" t="s">
        <v>489</v>
      </c>
      <c r="F459" s="460" t="s">
        <v>2606</v>
      </c>
      <c r="G459" s="457" t="s">
        <v>2607</v>
      </c>
      <c r="H459" s="457" t="s">
        <v>2608</v>
      </c>
      <c r="I459" s="457" t="s">
        <v>489</v>
      </c>
      <c r="J459" s="460" t="str">
        <f t="shared" si="19"/>
        <v>[pt]Monaco</v>
      </c>
      <c r="K459" s="460" t="str">
        <f t="shared" si="20"/>
        <v>[gr]Monaco</v>
      </c>
      <c r="L459" s="531" t="s">
        <v>490</v>
      </c>
      <c r="M459" s="461" t="str">
        <f t="shared" si="18"/>
        <v/>
      </c>
    </row>
    <row r="460" spans="1:13" ht="15.75" customHeight="1">
      <c r="A460" s="529" t="s">
        <v>492</v>
      </c>
      <c r="B460" s="480" t="s">
        <v>2609</v>
      </c>
      <c r="C460" s="529" t="s">
        <v>2610</v>
      </c>
      <c r="D460" s="459" t="str">
        <f t="shared" si="17"/>
        <v xml:space="preserve">MDA Moldova, Republic of </v>
      </c>
      <c r="E460" s="457" t="s">
        <v>2611</v>
      </c>
      <c r="F460" s="460" t="s">
        <v>2612</v>
      </c>
      <c r="G460" s="457" t="s">
        <v>2613</v>
      </c>
      <c r="H460" s="457" t="s">
        <v>2614</v>
      </c>
      <c r="I460" s="457" t="s">
        <v>2615</v>
      </c>
      <c r="J460" s="460" t="str">
        <f t="shared" si="19"/>
        <v>[pt]Moldawien (Republik Moldau)</v>
      </c>
      <c r="K460" s="460" t="str">
        <f t="shared" si="20"/>
        <v>[gr]Moldawien (Republik Moldau)</v>
      </c>
      <c r="L460" s="531" t="s">
        <v>492</v>
      </c>
      <c r="M460" s="461" t="str">
        <f t="shared" si="18"/>
        <v/>
      </c>
    </row>
    <row r="461" spans="1:13" ht="15.75" customHeight="1">
      <c r="A461" s="529" t="s">
        <v>494</v>
      </c>
      <c r="B461" s="480" t="s">
        <v>2616</v>
      </c>
      <c r="C461" s="529" t="s">
        <v>2617</v>
      </c>
      <c r="D461" s="459" t="str">
        <f t="shared" si="17"/>
        <v xml:space="preserve">MDG Madagascar </v>
      </c>
      <c r="E461" s="457" t="s">
        <v>2618</v>
      </c>
      <c r="F461" s="460" t="s">
        <v>2619</v>
      </c>
      <c r="G461" s="457" t="s">
        <v>2619</v>
      </c>
      <c r="H461" s="457" t="s">
        <v>493</v>
      </c>
      <c r="I461" s="457" t="s">
        <v>493</v>
      </c>
      <c r="J461" s="460" t="str">
        <f t="shared" si="19"/>
        <v>[pt]Madagaskar</v>
      </c>
      <c r="K461" s="460" t="str">
        <f t="shared" si="20"/>
        <v>[gr]Madagaskar</v>
      </c>
      <c r="L461" s="531" t="s">
        <v>494</v>
      </c>
      <c r="M461" s="461" t="str">
        <f t="shared" si="18"/>
        <v/>
      </c>
    </row>
    <row r="462" spans="1:13" ht="15.75" customHeight="1">
      <c r="A462" s="529" t="s">
        <v>496</v>
      </c>
      <c r="B462" s="480" t="s">
        <v>2620</v>
      </c>
      <c r="C462" s="529" t="s">
        <v>2621</v>
      </c>
      <c r="D462" s="459" t="str">
        <f t="shared" si="17"/>
        <v xml:space="preserve">MDV Maldives </v>
      </c>
      <c r="E462" s="457" t="s">
        <v>2622</v>
      </c>
      <c r="F462" s="460" t="s">
        <v>2623</v>
      </c>
      <c r="G462" s="457" t="s">
        <v>2624</v>
      </c>
      <c r="H462" s="457" t="s">
        <v>2625</v>
      </c>
      <c r="I462" s="457" t="s">
        <v>495</v>
      </c>
      <c r="J462" s="460" t="str">
        <f t="shared" si="19"/>
        <v>[pt]Malediven</v>
      </c>
      <c r="K462" s="460" t="str">
        <f t="shared" si="20"/>
        <v>[gr]Malediven</v>
      </c>
      <c r="L462" s="531" t="s">
        <v>496</v>
      </c>
      <c r="M462" s="461" t="str">
        <f t="shared" si="18"/>
        <v/>
      </c>
    </row>
    <row r="463" spans="1:13" ht="15.75" customHeight="1">
      <c r="A463" s="529" t="s">
        <v>498</v>
      </c>
      <c r="B463" s="480" t="s">
        <v>2626</v>
      </c>
      <c r="C463" s="529" t="s">
        <v>2627</v>
      </c>
      <c r="D463" s="459" t="str">
        <f t="shared" si="17"/>
        <v xml:space="preserve">MEX Mexico </v>
      </c>
      <c r="E463" s="457" t="s">
        <v>2628</v>
      </c>
      <c r="F463" s="460" t="s">
        <v>2629</v>
      </c>
      <c r="G463" s="457" t="s">
        <v>2630</v>
      </c>
      <c r="H463" s="457" t="s">
        <v>2631</v>
      </c>
      <c r="I463" s="457" t="s">
        <v>2632</v>
      </c>
      <c r="J463" s="460" t="str">
        <f t="shared" si="19"/>
        <v>[pt]Mexiko</v>
      </c>
      <c r="K463" s="460" t="str">
        <f t="shared" si="20"/>
        <v>[gr]Mexiko</v>
      </c>
      <c r="L463" s="531" t="s">
        <v>498</v>
      </c>
      <c r="M463" s="461" t="str">
        <f t="shared" si="18"/>
        <v/>
      </c>
    </row>
    <row r="464" spans="1:13" ht="15.75" customHeight="1">
      <c r="A464" s="529" t="s">
        <v>500</v>
      </c>
      <c r="B464" s="480" t="s">
        <v>2633</v>
      </c>
      <c r="C464" s="529" t="s">
        <v>2634</v>
      </c>
      <c r="D464" s="459" t="str">
        <f t="shared" si="17"/>
        <v xml:space="preserve">MHL Marshall Islands </v>
      </c>
      <c r="E464" s="457" t="s">
        <v>2635</v>
      </c>
      <c r="F464" s="460" t="s">
        <v>2636</v>
      </c>
      <c r="G464" s="457" t="s">
        <v>2637</v>
      </c>
      <c r="H464" s="457" t="s">
        <v>2638</v>
      </c>
      <c r="I464" s="457" t="s">
        <v>2639</v>
      </c>
      <c r="J464" s="460" t="str">
        <f t="shared" si="19"/>
        <v>[pt]Marshallinseln</v>
      </c>
      <c r="K464" s="460" t="str">
        <f t="shared" si="20"/>
        <v>[gr]Marshallinseln</v>
      </c>
      <c r="L464" s="531" t="s">
        <v>500</v>
      </c>
      <c r="M464" s="461" t="str">
        <f t="shared" si="18"/>
        <v/>
      </c>
    </row>
    <row r="465" spans="1:13" ht="15.75" customHeight="1">
      <c r="A465" s="529" t="s">
        <v>502</v>
      </c>
      <c r="B465" s="480" t="s">
        <v>2640</v>
      </c>
      <c r="C465" s="529" t="s">
        <v>2641</v>
      </c>
      <c r="D465" s="459" t="str">
        <f t="shared" si="17"/>
        <v xml:space="preserve">MKD Macedonia, The Former Yugoslav Republic of </v>
      </c>
      <c r="E465" s="457" t="s">
        <v>2642</v>
      </c>
      <c r="F465" s="460" t="s">
        <v>2643</v>
      </c>
      <c r="G465" s="457" t="s">
        <v>2644</v>
      </c>
      <c r="H465" s="457" t="s">
        <v>2645</v>
      </c>
      <c r="I465" s="457" t="s">
        <v>2646</v>
      </c>
      <c r="J465" s="460" t="str">
        <f t="shared" si="19"/>
        <v>[pt]Mazedonien</v>
      </c>
      <c r="K465" s="460" t="str">
        <f t="shared" si="20"/>
        <v>[gr]Mazedonien</v>
      </c>
      <c r="L465" s="531" t="s">
        <v>502</v>
      </c>
      <c r="M465" s="461" t="str">
        <f t="shared" si="18"/>
        <v/>
      </c>
    </row>
    <row r="466" spans="1:13" ht="15.75" customHeight="1">
      <c r="A466" s="529" t="s">
        <v>504</v>
      </c>
      <c r="B466" s="480" t="s">
        <v>2647</v>
      </c>
      <c r="C466" s="529" t="s">
        <v>2648</v>
      </c>
      <c r="D466" s="459" t="str">
        <f t="shared" si="17"/>
        <v xml:space="preserve">MLI Mali </v>
      </c>
      <c r="E466" s="457" t="s">
        <v>503</v>
      </c>
      <c r="F466" s="460" t="s">
        <v>2649</v>
      </c>
      <c r="G466" s="457" t="s">
        <v>2649</v>
      </c>
      <c r="H466" s="457" t="s">
        <v>2650</v>
      </c>
      <c r="I466" s="457" t="s">
        <v>503</v>
      </c>
      <c r="J466" s="460" t="str">
        <f t="shared" si="19"/>
        <v>[pt]Mali</v>
      </c>
      <c r="K466" s="460" t="str">
        <f t="shared" si="20"/>
        <v>[gr]Mali</v>
      </c>
      <c r="L466" s="531" t="s">
        <v>504</v>
      </c>
      <c r="M466" s="461" t="str">
        <f t="shared" si="18"/>
        <v/>
      </c>
    </row>
    <row r="467" spans="1:13" ht="15.75" customHeight="1">
      <c r="A467" s="529" t="s">
        <v>506</v>
      </c>
      <c r="B467" s="480" t="s">
        <v>2651</v>
      </c>
      <c r="C467" s="529" t="s">
        <v>2652</v>
      </c>
      <c r="D467" s="459" t="str">
        <f t="shared" si="17"/>
        <v xml:space="preserve">MLT Malta </v>
      </c>
      <c r="E467" s="457" t="s">
        <v>505</v>
      </c>
      <c r="F467" s="460" t="s">
        <v>2653</v>
      </c>
      <c r="G467" s="457" t="s">
        <v>2653</v>
      </c>
      <c r="H467" s="457" t="s">
        <v>505</v>
      </c>
      <c r="I467" s="457" t="s">
        <v>2654</v>
      </c>
      <c r="J467" s="460" t="str">
        <f t="shared" si="19"/>
        <v>[pt]Malta</v>
      </c>
      <c r="K467" s="460" t="str">
        <f t="shared" si="20"/>
        <v>[gr]Malta</v>
      </c>
      <c r="L467" s="531" t="s">
        <v>506</v>
      </c>
      <c r="M467" s="461" t="str">
        <f t="shared" si="18"/>
        <v/>
      </c>
    </row>
    <row r="468" spans="1:13" ht="15.75" customHeight="1">
      <c r="A468" s="529" t="s">
        <v>508</v>
      </c>
      <c r="B468" s="480" t="s">
        <v>2655</v>
      </c>
      <c r="C468" s="529" t="s">
        <v>2656</v>
      </c>
      <c r="D468" s="459" t="str">
        <f t="shared" si="17"/>
        <v xml:space="preserve">MMR Myanmar </v>
      </c>
      <c r="E468" s="457" t="s">
        <v>2657</v>
      </c>
      <c r="F468" s="460" t="s">
        <v>2658</v>
      </c>
      <c r="G468" s="457" t="s">
        <v>2659</v>
      </c>
      <c r="H468" s="457" t="s">
        <v>2660</v>
      </c>
      <c r="I468" s="457" t="s">
        <v>507</v>
      </c>
      <c r="J468" s="460" t="str">
        <f t="shared" si="19"/>
        <v>[pt]Myanmar (Burma)</v>
      </c>
      <c r="K468" s="460" t="str">
        <f t="shared" si="20"/>
        <v>[gr]Myanmar (Burma)</v>
      </c>
      <c r="L468" s="531" t="s">
        <v>508</v>
      </c>
      <c r="M468" s="461" t="str">
        <f t="shared" si="18"/>
        <v/>
      </c>
    </row>
    <row r="469" spans="1:13" ht="15.75" customHeight="1">
      <c r="A469" s="529" t="s">
        <v>510</v>
      </c>
      <c r="B469" s="480" t="s">
        <v>2661</v>
      </c>
      <c r="C469" s="529" t="s">
        <v>2662</v>
      </c>
      <c r="D469" s="459" t="str">
        <f t="shared" si="17"/>
        <v xml:space="preserve">MNE Montenegro </v>
      </c>
      <c r="E469" s="457" t="s">
        <v>509</v>
      </c>
      <c r="F469" s="460" t="s">
        <v>2663</v>
      </c>
      <c r="G469" s="457" t="s">
        <v>2663</v>
      </c>
      <c r="H469" s="457" t="s">
        <v>509</v>
      </c>
      <c r="I469" s="457" t="s">
        <v>2664</v>
      </c>
      <c r="J469" s="460" t="str">
        <f t="shared" si="19"/>
        <v>[pt]Montenegro</v>
      </c>
      <c r="K469" s="460" t="str">
        <f t="shared" si="20"/>
        <v>[gr]Montenegro</v>
      </c>
      <c r="L469" s="531" t="s">
        <v>510</v>
      </c>
      <c r="M469" s="461" t="str">
        <f t="shared" si="18"/>
        <v/>
      </c>
    </row>
    <row r="470" spans="1:13" ht="15.75" customHeight="1">
      <c r="A470" s="529" t="s">
        <v>512</v>
      </c>
      <c r="B470" s="480" t="s">
        <v>2665</v>
      </c>
      <c r="C470" s="529" t="s">
        <v>2666</v>
      </c>
      <c r="D470" s="459" t="str">
        <f t="shared" si="17"/>
        <v xml:space="preserve">MNG Mongolia </v>
      </c>
      <c r="E470" s="457" t="s">
        <v>2667</v>
      </c>
      <c r="F470" s="460" t="s">
        <v>2668</v>
      </c>
      <c r="G470" s="457" t="s">
        <v>2668</v>
      </c>
      <c r="H470" s="457" t="s">
        <v>511</v>
      </c>
      <c r="I470" s="457" t="s">
        <v>2669</v>
      </c>
      <c r="J470" s="460" t="str">
        <f t="shared" si="19"/>
        <v>[pt]Mongolei</v>
      </c>
      <c r="K470" s="460" t="str">
        <f t="shared" si="20"/>
        <v>[gr]Mongolei</v>
      </c>
      <c r="L470" s="531" t="s">
        <v>512</v>
      </c>
      <c r="M470" s="461" t="str">
        <f t="shared" si="18"/>
        <v/>
      </c>
    </row>
    <row r="471" spans="1:13" ht="15.75" customHeight="1">
      <c r="A471" s="529" t="s">
        <v>514</v>
      </c>
      <c r="B471" s="480" t="s">
        <v>2670</v>
      </c>
      <c r="C471" s="529" t="s">
        <v>2671</v>
      </c>
      <c r="D471" s="459" t="str">
        <f t="shared" si="17"/>
        <v xml:space="preserve">MNP Northern Mariana Islands </v>
      </c>
      <c r="E471" s="457" t="s">
        <v>2672</v>
      </c>
      <c r="F471" s="460" t="s">
        <v>2673</v>
      </c>
      <c r="G471" s="457" t="s">
        <v>2674</v>
      </c>
      <c r="H471" s="457" t="s">
        <v>2675</v>
      </c>
      <c r="I471" s="457" t="s">
        <v>2676</v>
      </c>
      <c r="J471" s="460" t="str">
        <f t="shared" si="19"/>
        <v>[pt]Nördliche Marianen</v>
      </c>
      <c r="K471" s="460" t="str">
        <f t="shared" si="20"/>
        <v>[gr]Nördliche Marianen</v>
      </c>
      <c r="L471" s="531" t="s">
        <v>514</v>
      </c>
      <c r="M471" s="461" t="str">
        <f t="shared" si="18"/>
        <v/>
      </c>
    </row>
    <row r="472" spans="1:13" ht="15.75" customHeight="1">
      <c r="A472" s="529" t="s">
        <v>516</v>
      </c>
      <c r="B472" s="480" t="s">
        <v>2677</v>
      </c>
      <c r="C472" s="529" t="s">
        <v>2678</v>
      </c>
      <c r="D472" s="459" t="str">
        <f t="shared" si="17"/>
        <v xml:space="preserve">MOZ Mozambique </v>
      </c>
      <c r="E472" s="457" t="s">
        <v>2679</v>
      </c>
      <c r="F472" s="460" t="s">
        <v>2680</v>
      </c>
      <c r="G472" s="457" t="s">
        <v>2681</v>
      </c>
      <c r="H472" s="457" t="s">
        <v>515</v>
      </c>
      <c r="I472" s="457" t="s">
        <v>515</v>
      </c>
      <c r="J472" s="460" t="str">
        <f t="shared" si="19"/>
        <v>[pt]Mosambik</v>
      </c>
      <c r="K472" s="460" t="str">
        <f t="shared" si="20"/>
        <v>[gr]Mosambik</v>
      </c>
      <c r="L472" s="531" t="s">
        <v>516</v>
      </c>
      <c r="M472" s="461" t="str">
        <f t="shared" si="18"/>
        <v/>
      </c>
    </row>
    <row r="473" spans="1:13" ht="15.75" customHeight="1">
      <c r="A473" s="529" t="s">
        <v>518</v>
      </c>
      <c r="B473" s="480" t="s">
        <v>2682</v>
      </c>
      <c r="C473" s="529" t="s">
        <v>2683</v>
      </c>
      <c r="D473" s="459" t="str">
        <f t="shared" si="17"/>
        <v xml:space="preserve">MRT Mauritania </v>
      </c>
      <c r="E473" s="457" t="s">
        <v>2684</v>
      </c>
      <c r="F473" s="460" t="s">
        <v>2685</v>
      </c>
      <c r="G473" s="457" t="s">
        <v>2685</v>
      </c>
      <c r="H473" s="457" t="s">
        <v>517</v>
      </c>
      <c r="I473" s="457" t="s">
        <v>2686</v>
      </c>
      <c r="J473" s="460" t="str">
        <f t="shared" si="19"/>
        <v>[pt]Mauretanien</v>
      </c>
      <c r="K473" s="460" t="str">
        <f t="shared" si="20"/>
        <v>[gr]Mauretanien</v>
      </c>
      <c r="L473" s="531" t="s">
        <v>518</v>
      </c>
      <c r="M473" s="461" t="str">
        <f t="shared" si="18"/>
        <v/>
      </c>
    </row>
    <row r="474" spans="1:13" ht="15.75" customHeight="1">
      <c r="A474" s="529" t="s">
        <v>520</v>
      </c>
      <c r="B474" s="480" t="s">
        <v>2687</v>
      </c>
      <c r="C474" s="529" t="s">
        <v>2688</v>
      </c>
      <c r="D474" s="459" t="str">
        <f t="shared" si="17"/>
        <v xml:space="preserve">MUS Mauritius </v>
      </c>
      <c r="E474" s="457" t="s">
        <v>519</v>
      </c>
      <c r="F474" s="460" t="s">
        <v>2689</v>
      </c>
      <c r="G474" s="457" t="s">
        <v>2689</v>
      </c>
      <c r="H474" s="457" t="s">
        <v>2690</v>
      </c>
      <c r="I474" s="457" t="s">
        <v>2691</v>
      </c>
      <c r="J474" s="460" t="str">
        <f t="shared" si="19"/>
        <v>[pt]Mauritius</v>
      </c>
      <c r="K474" s="460" t="str">
        <f t="shared" si="20"/>
        <v>[gr]Mauritius</v>
      </c>
      <c r="L474" s="531" t="s">
        <v>520</v>
      </c>
      <c r="M474" s="461" t="str">
        <f t="shared" si="18"/>
        <v/>
      </c>
    </row>
    <row r="475" spans="1:13" ht="15.75" customHeight="1">
      <c r="A475" s="529" t="s">
        <v>522</v>
      </c>
      <c r="B475" s="480" t="s">
        <v>2692</v>
      </c>
      <c r="C475" s="529" t="s">
        <v>2693</v>
      </c>
      <c r="D475" s="459" t="str">
        <f t="shared" si="17"/>
        <v xml:space="preserve">MWI Malawi </v>
      </c>
      <c r="E475" s="457" t="s">
        <v>521</v>
      </c>
      <c r="F475" s="460" t="s">
        <v>2694</v>
      </c>
      <c r="G475" s="457" t="s">
        <v>2694</v>
      </c>
      <c r="H475" s="457" t="s">
        <v>2695</v>
      </c>
      <c r="I475" s="457" t="s">
        <v>521</v>
      </c>
      <c r="J475" s="460" t="str">
        <f t="shared" si="19"/>
        <v>[pt]Malawi</v>
      </c>
      <c r="K475" s="460" t="str">
        <f t="shared" si="20"/>
        <v>[gr]Malawi</v>
      </c>
      <c r="L475" s="531" t="s">
        <v>522</v>
      </c>
      <c r="M475" s="461" t="str">
        <f t="shared" si="18"/>
        <v/>
      </c>
    </row>
    <row r="476" spans="1:13" ht="15.75" customHeight="1">
      <c r="A476" s="529" t="s">
        <v>524</v>
      </c>
      <c r="B476" s="480" t="s">
        <v>2696</v>
      </c>
      <c r="C476" s="529" t="s">
        <v>2697</v>
      </c>
      <c r="D476" s="459" t="str">
        <f t="shared" si="17"/>
        <v xml:space="preserve">MYS Malaysia </v>
      </c>
      <c r="E476" s="457" t="s">
        <v>523</v>
      </c>
      <c r="F476" s="460" t="s">
        <v>2698</v>
      </c>
      <c r="G476" s="457" t="s">
        <v>2699</v>
      </c>
      <c r="H476" s="457" t="s">
        <v>2700</v>
      </c>
      <c r="I476" s="457" t="s">
        <v>2701</v>
      </c>
      <c r="J476" s="460" t="str">
        <f t="shared" si="19"/>
        <v>[pt]Malaysia</v>
      </c>
      <c r="K476" s="460" t="str">
        <f t="shared" si="20"/>
        <v>[gr]Malaysia</v>
      </c>
      <c r="L476" s="531" t="s">
        <v>524</v>
      </c>
      <c r="M476" s="461" t="str">
        <f t="shared" si="18"/>
        <v/>
      </c>
    </row>
    <row r="477" spans="1:13" ht="15.75" customHeight="1">
      <c r="A477" s="529" t="s">
        <v>526</v>
      </c>
      <c r="B477" s="480" t="s">
        <v>2702</v>
      </c>
      <c r="C477" s="529" t="s">
        <v>2703</v>
      </c>
      <c r="D477" s="459" t="str">
        <f t="shared" si="17"/>
        <v xml:space="preserve">NAM Namibia </v>
      </c>
      <c r="E477" s="457" t="s">
        <v>525</v>
      </c>
      <c r="F477" s="460" t="s">
        <v>2704</v>
      </c>
      <c r="G477" s="457" t="s">
        <v>2704</v>
      </c>
      <c r="H477" s="457" t="s">
        <v>525</v>
      </c>
      <c r="I477" s="457" t="s">
        <v>2705</v>
      </c>
      <c r="J477" s="460" t="str">
        <f t="shared" si="19"/>
        <v>[pt]Namibia</v>
      </c>
      <c r="K477" s="460" t="str">
        <f t="shared" si="20"/>
        <v>[gr]Namibia</v>
      </c>
      <c r="L477" s="531" t="s">
        <v>526</v>
      </c>
      <c r="M477" s="461" t="str">
        <f t="shared" si="18"/>
        <v/>
      </c>
    </row>
    <row r="478" spans="1:13" ht="15.75" customHeight="1">
      <c r="A478" s="529" t="s">
        <v>528</v>
      </c>
      <c r="B478" s="480" t="s">
        <v>2706</v>
      </c>
      <c r="C478" s="529" t="s">
        <v>2707</v>
      </c>
      <c r="D478" s="459" t="str">
        <f t="shared" si="17"/>
        <v xml:space="preserve">NCL New Caledonia </v>
      </c>
      <c r="E478" s="457" t="s">
        <v>2708</v>
      </c>
      <c r="F478" s="460" t="s">
        <v>2709</v>
      </c>
      <c r="G478" s="457" t="s">
        <v>2710</v>
      </c>
      <c r="H478" s="457" t="s">
        <v>2711</v>
      </c>
      <c r="I478" s="457" t="s">
        <v>2712</v>
      </c>
      <c r="J478" s="460" t="str">
        <f t="shared" si="19"/>
        <v>[pt]Neukaledonien</v>
      </c>
      <c r="K478" s="460" t="str">
        <f t="shared" si="20"/>
        <v>[gr]Neukaledonien</v>
      </c>
      <c r="L478" s="531" t="s">
        <v>528</v>
      </c>
      <c r="M478" s="461" t="str">
        <f t="shared" si="18"/>
        <v/>
      </c>
    </row>
    <row r="479" spans="1:13" ht="15.75" customHeight="1">
      <c r="A479" s="529" t="s">
        <v>530</v>
      </c>
      <c r="B479" s="480" t="s">
        <v>2713</v>
      </c>
      <c r="C479" s="529" t="s">
        <v>2714</v>
      </c>
      <c r="D479" s="459" t="str">
        <f t="shared" si="17"/>
        <v xml:space="preserve">NER Niger </v>
      </c>
      <c r="E479" s="457" t="s">
        <v>529</v>
      </c>
      <c r="F479" s="460" t="s">
        <v>2715</v>
      </c>
      <c r="G479" s="457" t="s">
        <v>2715</v>
      </c>
      <c r="H479" s="457" t="s">
        <v>2716</v>
      </c>
      <c r="I479" s="457" t="s">
        <v>529</v>
      </c>
      <c r="J479" s="460" t="str">
        <f t="shared" si="19"/>
        <v>[pt]Niger</v>
      </c>
      <c r="K479" s="460" t="str">
        <f t="shared" si="20"/>
        <v>[gr]Niger</v>
      </c>
      <c r="L479" s="531" t="s">
        <v>530</v>
      </c>
      <c r="M479" s="461" t="str">
        <f t="shared" si="18"/>
        <v/>
      </c>
    </row>
    <row r="480" spans="1:13" ht="15.75" customHeight="1">
      <c r="A480" s="529" t="s">
        <v>532</v>
      </c>
      <c r="B480" s="480" t="s">
        <v>2717</v>
      </c>
      <c r="C480" s="529" t="s">
        <v>2718</v>
      </c>
      <c r="D480" s="459" t="str">
        <f t="shared" si="17"/>
        <v xml:space="preserve">NGA Nigeria </v>
      </c>
      <c r="E480" s="457" t="s">
        <v>531</v>
      </c>
      <c r="F480" s="460" t="s">
        <v>2719</v>
      </c>
      <c r="G480" s="457" t="s">
        <v>2719</v>
      </c>
      <c r="H480" s="457" t="s">
        <v>531</v>
      </c>
      <c r="I480" s="457" t="s">
        <v>2720</v>
      </c>
      <c r="J480" s="460" t="str">
        <f t="shared" si="19"/>
        <v>[pt]Nigeria</v>
      </c>
      <c r="K480" s="460" t="str">
        <f t="shared" si="20"/>
        <v>[gr]Nigeria</v>
      </c>
      <c r="L480" s="531" t="s">
        <v>532</v>
      </c>
      <c r="M480" s="461" t="str">
        <f t="shared" si="18"/>
        <v/>
      </c>
    </row>
    <row r="481" spans="1:13" ht="15.75" customHeight="1">
      <c r="A481" s="529" t="s">
        <v>534</v>
      </c>
      <c r="B481" s="480" t="s">
        <v>2721</v>
      </c>
      <c r="C481" s="529" t="s">
        <v>2722</v>
      </c>
      <c r="D481" s="459" t="str">
        <f t="shared" si="17"/>
        <v xml:space="preserve">NIC Nicaragua </v>
      </c>
      <c r="E481" s="457" t="s">
        <v>533</v>
      </c>
      <c r="F481" s="460" t="s">
        <v>2723</v>
      </c>
      <c r="G481" s="457" t="s">
        <v>2723</v>
      </c>
      <c r="H481" s="457" t="s">
        <v>533</v>
      </c>
      <c r="I481" s="457" t="s">
        <v>533</v>
      </c>
      <c r="J481" s="460" t="str">
        <f t="shared" si="19"/>
        <v>[pt]Nicaragua</v>
      </c>
      <c r="K481" s="460" t="str">
        <f t="shared" si="20"/>
        <v>[gr]Nicaragua</v>
      </c>
      <c r="L481" s="531" t="s">
        <v>534</v>
      </c>
      <c r="M481" s="461" t="str">
        <f t="shared" si="18"/>
        <v/>
      </c>
    </row>
    <row r="482" spans="1:13" ht="15.75" customHeight="1">
      <c r="A482" s="529" t="s">
        <v>536</v>
      </c>
      <c r="B482" s="480" t="s">
        <v>2724</v>
      </c>
      <c r="C482" s="529" t="s">
        <v>2725</v>
      </c>
      <c r="D482" s="459" t="str">
        <f t="shared" si="17"/>
        <v xml:space="preserve">NLD Netherlands </v>
      </c>
      <c r="E482" s="457" t="s">
        <v>2726</v>
      </c>
      <c r="F482" s="460" t="s">
        <v>2727</v>
      </c>
      <c r="G482" s="457" t="s">
        <v>2728</v>
      </c>
      <c r="H482" s="457" t="s">
        <v>2729</v>
      </c>
      <c r="I482" s="457" t="s">
        <v>2730</v>
      </c>
      <c r="J482" s="460" t="str">
        <f t="shared" si="19"/>
        <v>[pt]Niederlande</v>
      </c>
      <c r="K482" s="460" t="str">
        <f t="shared" si="20"/>
        <v>[gr]Niederlande</v>
      </c>
      <c r="L482" s="531" t="s">
        <v>536</v>
      </c>
      <c r="M482" s="461" t="str">
        <f t="shared" si="18"/>
        <v/>
      </c>
    </row>
    <row r="483" spans="1:13" ht="15.75" customHeight="1">
      <c r="A483" s="529" t="s">
        <v>538</v>
      </c>
      <c r="B483" s="480" t="s">
        <v>2731</v>
      </c>
      <c r="C483" s="529" t="s">
        <v>2732</v>
      </c>
      <c r="D483" s="459" t="str">
        <f t="shared" si="17"/>
        <v xml:space="preserve">NOR Norway </v>
      </c>
      <c r="E483" s="457" t="s">
        <v>2733</v>
      </c>
      <c r="F483" s="460" t="s">
        <v>2734</v>
      </c>
      <c r="G483" s="457" t="s">
        <v>2735</v>
      </c>
      <c r="H483" s="457" t="s">
        <v>2736</v>
      </c>
      <c r="I483" s="457" t="s">
        <v>2737</v>
      </c>
      <c r="J483" s="460" t="str">
        <f t="shared" si="19"/>
        <v>[pt]Norwegen</v>
      </c>
      <c r="K483" s="460" t="str">
        <f t="shared" si="20"/>
        <v>[gr]Norwegen</v>
      </c>
      <c r="L483" s="531" t="s">
        <v>538</v>
      </c>
      <c r="M483" s="461" t="str">
        <f t="shared" si="18"/>
        <v/>
      </c>
    </row>
    <row r="484" spans="1:13" ht="15.75" customHeight="1">
      <c r="A484" s="529" t="s">
        <v>540</v>
      </c>
      <c r="B484" s="480" t="s">
        <v>2738</v>
      </c>
      <c r="C484" s="529" t="s">
        <v>2739</v>
      </c>
      <c r="D484" s="459" t="str">
        <f t="shared" si="17"/>
        <v xml:space="preserve">NPL Nepal </v>
      </c>
      <c r="E484" s="457" t="s">
        <v>539</v>
      </c>
      <c r="F484" s="460" t="s">
        <v>2740</v>
      </c>
      <c r="G484" s="457" t="s">
        <v>2740</v>
      </c>
      <c r="H484" s="457" t="s">
        <v>539</v>
      </c>
      <c r="I484" s="457" t="s">
        <v>2741</v>
      </c>
      <c r="J484" s="460" t="str">
        <f t="shared" si="19"/>
        <v>[pt]Nepal</v>
      </c>
      <c r="K484" s="460" t="str">
        <f t="shared" si="20"/>
        <v>[gr]Nepal</v>
      </c>
      <c r="L484" s="531" t="s">
        <v>540</v>
      </c>
      <c r="M484" s="461" t="str">
        <f t="shared" si="18"/>
        <v/>
      </c>
    </row>
    <row r="485" spans="1:13" ht="15.75" customHeight="1">
      <c r="A485" s="529" t="s">
        <v>542</v>
      </c>
      <c r="B485" s="480" t="s">
        <v>2742</v>
      </c>
      <c r="C485" s="529" t="s">
        <v>2743</v>
      </c>
      <c r="D485" s="459" t="str">
        <f t="shared" si="17"/>
        <v xml:space="preserve">NRU Nauru </v>
      </c>
      <c r="E485" s="457" t="s">
        <v>541</v>
      </c>
      <c r="F485" s="460" t="s">
        <v>2744</v>
      </c>
      <c r="G485" s="457" t="s">
        <v>2744</v>
      </c>
      <c r="H485" s="457" t="s">
        <v>541</v>
      </c>
      <c r="I485" s="457" t="s">
        <v>541</v>
      </c>
      <c r="J485" s="460" t="str">
        <f t="shared" si="19"/>
        <v>[pt]Nauru</v>
      </c>
      <c r="K485" s="460" t="str">
        <f t="shared" si="20"/>
        <v>[gr]Nauru</v>
      </c>
      <c r="L485" s="531" t="s">
        <v>542</v>
      </c>
      <c r="M485" s="461" t="str">
        <f t="shared" si="18"/>
        <v/>
      </c>
    </row>
    <row r="486" spans="1:13" ht="15.75" customHeight="1">
      <c r="A486" s="529" t="s">
        <v>544</v>
      </c>
      <c r="B486" s="480" t="s">
        <v>2745</v>
      </c>
      <c r="C486" s="529" t="s">
        <v>2746</v>
      </c>
      <c r="D486" s="459" t="str">
        <f t="shared" si="17"/>
        <v xml:space="preserve">NZL New Zealand </v>
      </c>
      <c r="E486" s="457" t="s">
        <v>2747</v>
      </c>
      <c r="F486" s="460" t="s">
        <v>2748</v>
      </c>
      <c r="G486" s="457" t="s">
        <v>2749</v>
      </c>
      <c r="H486" s="457" t="s">
        <v>2750</v>
      </c>
      <c r="I486" s="457" t="s">
        <v>2751</v>
      </c>
      <c r="J486" s="460" t="str">
        <f t="shared" si="19"/>
        <v>[pt]Neuseeland</v>
      </c>
      <c r="K486" s="460" t="str">
        <f t="shared" si="20"/>
        <v>[gr]Neuseeland</v>
      </c>
      <c r="L486" s="531" t="s">
        <v>544</v>
      </c>
      <c r="M486" s="461" t="str">
        <f t="shared" si="18"/>
        <v/>
      </c>
    </row>
    <row r="487" spans="1:13" ht="15.75" customHeight="1">
      <c r="A487" s="529" t="s">
        <v>546</v>
      </c>
      <c r="B487" s="480" t="s">
        <v>2752</v>
      </c>
      <c r="C487" s="529" t="s">
        <v>2753</v>
      </c>
      <c r="D487" s="459" t="str">
        <f t="shared" si="17"/>
        <v xml:space="preserve">OMN Oman </v>
      </c>
      <c r="E487" s="457" t="s">
        <v>545</v>
      </c>
      <c r="F487" s="460" t="s">
        <v>2754</v>
      </c>
      <c r="G487" s="457" t="s">
        <v>2754</v>
      </c>
      <c r="H487" s="457" t="s">
        <v>2755</v>
      </c>
      <c r="I487" s="457" t="s">
        <v>545</v>
      </c>
      <c r="J487" s="460" t="str">
        <f t="shared" si="19"/>
        <v>[pt]Oman</v>
      </c>
      <c r="K487" s="460" t="str">
        <f t="shared" si="20"/>
        <v>[gr]Oman</v>
      </c>
      <c r="L487" s="531" t="s">
        <v>546</v>
      </c>
      <c r="M487" s="461" t="str">
        <f t="shared" si="18"/>
        <v/>
      </c>
    </row>
    <row r="488" spans="1:13" ht="15.75" customHeight="1">
      <c r="A488" s="529" t="s">
        <v>548</v>
      </c>
      <c r="B488" s="480" t="s">
        <v>2756</v>
      </c>
      <c r="C488" s="529" t="s">
        <v>2757</v>
      </c>
      <c r="D488" s="459" t="str">
        <f t="shared" si="17"/>
        <v xml:space="preserve">PAK Pakistan </v>
      </c>
      <c r="E488" s="457" t="s">
        <v>547</v>
      </c>
      <c r="F488" s="460" t="s">
        <v>2758</v>
      </c>
      <c r="G488" s="457" t="s">
        <v>2758</v>
      </c>
      <c r="H488" s="457" t="s">
        <v>2759</v>
      </c>
      <c r="I488" s="457" t="s">
        <v>547</v>
      </c>
      <c r="J488" s="460" t="str">
        <f t="shared" si="19"/>
        <v>[pt]Pakistan</v>
      </c>
      <c r="K488" s="460" t="str">
        <f t="shared" si="20"/>
        <v>[gr]Pakistan</v>
      </c>
      <c r="L488" s="531" t="s">
        <v>548</v>
      </c>
      <c r="M488" s="461" t="str">
        <f t="shared" si="18"/>
        <v/>
      </c>
    </row>
    <row r="489" spans="1:13" ht="15.75" customHeight="1">
      <c r="A489" s="529" t="s">
        <v>550</v>
      </c>
      <c r="B489" s="480" t="s">
        <v>2760</v>
      </c>
      <c r="C489" s="529" t="s">
        <v>2761</v>
      </c>
      <c r="D489" s="459" t="str">
        <f t="shared" si="17"/>
        <v xml:space="preserve">PAN Panama </v>
      </c>
      <c r="E489" s="457" t="s">
        <v>549</v>
      </c>
      <c r="F489" s="460" t="s">
        <v>2762</v>
      </c>
      <c r="G489" s="457" t="s">
        <v>2763</v>
      </c>
      <c r="H489" s="457" t="s">
        <v>2764</v>
      </c>
      <c r="I489" s="457" t="s">
        <v>549</v>
      </c>
      <c r="J489" s="460" t="str">
        <f t="shared" ref="J489:J520" si="21">"[pt]"&amp;E489</f>
        <v>[pt]Panama</v>
      </c>
      <c r="K489" s="460" t="str">
        <f t="shared" ref="K489:K520" si="22">"[gr]"&amp;E489</f>
        <v>[gr]Panama</v>
      </c>
      <c r="L489" s="531" t="s">
        <v>550</v>
      </c>
      <c r="M489" s="461" t="str">
        <f t="shared" si="18"/>
        <v/>
      </c>
    </row>
    <row r="490" spans="1:13" ht="15.75" customHeight="1">
      <c r="A490" s="529" t="s">
        <v>552</v>
      </c>
      <c r="B490" s="480" t="s">
        <v>2765</v>
      </c>
      <c r="C490" s="529" t="s">
        <v>2766</v>
      </c>
      <c r="D490" s="459" t="str">
        <f t="shared" si="17"/>
        <v xml:space="preserve">PER Peru </v>
      </c>
      <c r="E490" s="457" t="s">
        <v>551</v>
      </c>
      <c r="F490" s="460" t="s">
        <v>2767</v>
      </c>
      <c r="G490" s="457" t="s">
        <v>2768</v>
      </c>
      <c r="H490" s="457" t="s">
        <v>2769</v>
      </c>
      <c r="I490" s="457" t="s">
        <v>2770</v>
      </c>
      <c r="J490" s="460" t="str">
        <f t="shared" si="21"/>
        <v>[pt]Peru</v>
      </c>
      <c r="K490" s="460" t="str">
        <f t="shared" si="22"/>
        <v>[gr]Peru</v>
      </c>
      <c r="L490" s="531" t="s">
        <v>552</v>
      </c>
      <c r="M490" s="461" t="str">
        <f t="shared" si="18"/>
        <v/>
      </c>
    </row>
    <row r="491" spans="1:13" ht="15.75" customHeight="1">
      <c r="A491" s="529" t="s">
        <v>554</v>
      </c>
      <c r="B491" s="480" t="s">
        <v>2771</v>
      </c>
      <c r="C491" s="529" t="s">
        <v>2772</v>
      </c>
      <c r="D491" s="459" t="str">
        <f t="shared" si="17"/>
        <v xml:space="preserve">PHL Philippines </v>
      </c>
      <c r="E491" s="457" t="s">
        <v>2773</v>
      </c>
      <c r="F491" s="460" t="s">
        <v>2774</v>
      </c>
      <c r="G491" s="457" t="s">
        <v>2775</v>
      </c>
      <c r="H491" s="457" t="s">
        <v>2776</v>
      </c>
      <c r="I491" s="457" t="s">
        <v>553</v>
      </c>
      <c r="J491" s="460" t="str">
        <f t="shared" si="21"/>
        <v>[pt]Philippinen</v>
      </c>
      <c r="K491" s="460" t="str">
        <f t="shared" si="22"/>
        <v>[gr]Philippinen</v>
      </c>
      <c r="L491" s="531" t="s">
        <v>554</v>
      </c>
      <c r="M491" s="461" t="str">
        <f t="shared" si="18"/>
        <v/>
      </c>
    </row>
    <row r="492" spans="1:13" ht="15.75" customHeight="1">
      <c r="A492" s="529" t="s">
        <v>556</v>
      </c>
      <c r="B492" s="480" t="s">
        <v>2777</v>
      </c>
      <c r="C492" s="529" t="s">
        <v>2778</v>
      </c>
      <c r="D492" s="459" t="str">
        <f t="shared" si="17"/>
        <v xml:space="preserve">PLW Palau </v>
      </c>
      <c r="E492" s="457" t="s">
        <v>555</v>
      </c>
      <c r="F492" s="460" t="s">
        <v>2779</v>
      </c>
      <c r="G492" s="457" t="s">
        <v>2779</v>
      </c>
      <c r="H492" s="457" t="s">
        <v>2780</v>
      </c>
      <c r="I492" s="457" t="s">
        <v>2780</v>
      </c>
      <c r="J492" s="460" t="str">
        <f t="shared" si="21"/>
        <v>[pt]Palau</v>
      </c>
      <c r="K492" s="460" t="str">
        <f t="shared" si="22"/>
        <v>[gr]Palau</v>
      </c>
      <c r="L492" s="531" t="s">
        <v>556</v>
      </c>
      <c r="M492" s="461" t="str">
        <f t="shared" si="18"/>
        <v/>
      </c>
    </row>
    <row r="493" spans="1:13" ht="15.75" customHeight="1">
      <c r="A493" s="529" t="s">
        <v>558</v>
      </c>
      <c r="B493" s="480" t="s">
        <v>2781</v>
      </c>
      <c r="C493" s="529" t="s">
        <v>2782</v>
      </c>
      <c r="D493" s="459" t="str">
        <f t="shared" si="17"/>
        <v xml:space="preserve">PNG Papua New Guinea </v>
      </c>
      <c r="E493" s="457" t="s">
        <v>2783</v>
      </c>
      <c r="F493" s="460" t="s">
        <v>2784</v>
      </c>
      <c r="G493" s="457" t="s">
        <v>2785</v>
      </c>
      <c r="H493" s="457" t="s">
        <v>2786</v>
      </c>
      <c r="I493" s="457" t="s">
        <v>2787</v>
      </c>
      <c r="J493" s="460" t="str">
        <f t="shared" si="21"/>
        <v>[pt]Papua-Neuguinea</v>
      </c>
      <c r="K493" s="460" t="str">
        <f t="shared" si="22"/>
        <v>[gr]Papua-Neuguinea</v>
      </c>
      <c r="L493" s="531" t="s">
        <v>558</v>
      </c>
      <c r="M493" s="461" t="str">
        <f t="shared" si="18"/>
        <v/>
      </c>
    </row>
    <row r="494" spans="1:13" ht="15.75" customHeight="1">
      <c r="A494" s="529" t="s">
        <v>560</v>
      </c>
      <c r="B494" s="480" t="s">
        <v>2788</v>
      </c>
      <c r="C494" s="529" t="s">
        <v>2789</v>
      </c>
      <c r="D494" s="459" t="str">
        <f t="shared" si="17"/>
        <v xml:space="preserve">POL Poland </v>
      </c>
      <c r="E494" s="457" t="s">
        <v>2790</v>
      </c>
      <c r="F494" s="460" t="s">
        <v>2791</v>
      </c>
      <c r="G494" s="457" t="s">
        <v>2792</v>
      </c>
      <c r="H494" s="457" t="s">
        <v>2793</v>
      </c>
      <c r="I494" s="457" t="s">
        <v>2794</v>
      </c>
      <c r="J494" s="460" t="str">
        <f t="shared" si="21"/>
        <v>[pt]Polen</v>
      </c>
      <c r="K494" s="460" t="str">
        <f t="shared" si="22"/>
        <v>[gr]Polen</v>
      </c>
      <c r="L494" s="531" t="s">
        <v>560</v>
      </c>
      <c r="M494" s="461" t="str">
        <f t="shared" si="18"/>
        <v/>
      </c>
    </row>
    <row r="495" spans="1:13" ht="15.75" customHeight="1">
      <c r="A495" s="529" t="s">
        <v>562</v>
      </c>
      <c r="B495" s="480" t="s">
        <v>2795</v>
      </c>
      <c r="C495" s="529" t="s">
        <v>2796</v>
      </c>
      <c r="D495" s="459" t="str">
        <f t="shared" si="17"/>
        <v xml:space="preserve">PRI Puerto Rico </v>
      </c>
      <c r="E495" s="457" t="s">
        <v>561</v>
      </c>
      <c r="F495" s="460" t="s">
        <v>2797</v>
      </c>
      <c r="G495" s="457" t="s">
        <v>2798</v>
      </c>
      <c r="H495" s="457" t="s">
        <v>561</v>
      </c>
      <c r="I495" s="457" t="s">
        <v>561</v>
      </c>
      <c r="J495" s="460" t="str">
        <f t="shared" si="21"/>
        <v>[pt]Puerto Rico</v>
      </c>
      <c r="K495" s="460" t="str">
        <f t="shared" si="22"/>
        <v>[gr]Puerto Rico</v>
      </c>
      <c r="L495" s="531" t="s">
        <v>562</v>
      </c>
      <c r="M495" s="461" t="str">
        <f t="shared" si="18"/>
        <v/>
      </c>
    </row>
    <row r="496" spans="1:13" ht="15.75" customHeight="1">
      <c r="A496" s="529" t="s">
        <v>564</v>
      </c>
      <c r="B496" s="480" t="s">
        <v>2799</v>
      </c>
      <c r="C496" s="529" t="s">
        <v>2800</v>
      </c>
      <c r="D496" s="459" t="str">
        <f t="shared" si="17"/>
        <v xml:space="preserve">PRK Korea, Democratic People's Republic of </v>
      </c>
      <c r="E496" s="457" t="s">
        <v>2801</v>
      </c>
      <c r="F496" s="460" t="s">
        <v>2802</v>
      </c>
      <c r="G496" s="457" t="s">
        <v>2803</v>
      </c>
      <c r="H496" s="457" t="s">
        <v>2804</v>
      </c>
      <c r="I496" s="457" t="s">
        <v>2805</v>
      </c>
      <c r="J496" s="460" t="str">
        <f t="shared" si="21"/>
        <v>[pt]Korea, Demokratische Volksrepublik (Nordkorea)</v>
      </c>
      <c r="K496" s="460" t="str">
        <f t="shared" si="22"/>
        <v>[gr]Korea, Demokratische Volksrepublik (Nordkorea)</v>
      </c>
      <c r="L496" s="531" t="s">
        <v>564</v>
      </c>
      <c r="M496" s="461" t="str">
        <f t="shared" si="18"/>
        <v/>
      </c>
    </row>
    <row r="497" spans="1:13" ht="15.75" customHeight="1">
      <c r="A497" s="529" t="s">
        <v>566</v>
      </c>
      <c r="B497" s="480" t="s">
        <v>2806</v>
      </c>
      <c r="C497" s="529" t="s">
        <v>2807</v>
      </c>
      <c r="D497" s="459" t="str">
        <f t="shared" si="17"/>
        <v xml:space="preserve">PRT Portugal </v>
      </c>
      <c r="E497" s="457" t="s">
        <v>565</v>
      </c>
      <c r="F497" s="460" t="s">
        <v>2808</v>
      </c>
      <c r="G497" s="457" t="s">
        <v>2809</v>
      </c>
      <c r="H497" s="457" t="s">
        <v>565</v>
      </c>
      <c r="I497" s="457" t="s">
        <v>565</v>
      </c>
      <c r="J497" s="460" t="str">
        <f t="shared" si="21"/>
        <v>[pt]Portugal</v>
      </c>
      <c r="K497" s="460" t="str">
        <f t="shared" si="22"/>
        <v>[gr]Portugal</v>
      </c>
      <c r="L497" s="531" t="s">
        <v>566</v>
      </c>
      <c r="M497" s="461" t="str">
        <f t="shared" si="18"/>
        <v/>
      </c>
    </row>
    <row r="498" spans="1:13" ht="15.75" customHeight="1">
      <c r="A498" s="529" t="s">
        <v>568</v>
      </c>
      <c r="B498" s="480" t="s">
        <v>2810</v>
      </c>
      <c r="C498" s="529" t="s">
        <v>2811</v>
      </c>
      <c r="D498" s="459" t="str">
        <f t="shared" si="17"/>
        <v xml:space="preserve">PRY Paraguay </v>
      </c>
      <c r="E498" s="457" t="s">
        <v>567</v>
      </c>
      <c r="F498" s="460" t="s">
        <v>2812</v>
      </c>
      <c r="G498" s="457" t="s">
        <v>2812</v>
      </c>
      <c r="H498" s="457" t="s">
        <v>567</v>
      </c>
      <c r="I498" s="457" t="s">
        <v>567</v>
      </c>
      <c r="J498" s="460" t="str">
        <f t="shared" si="21"/>
        <v>[pt]Paraguay</v>
      </c>
      <c r="K498" s="460" t="str">
        <f t="shared" si="22"/>
        <v>[gr]Paraguay</v>
      </c>
      <c r="L498" s="531" t="s">
        <v>568</v>
      </c>
      <c r="M498" s="461" t="str">
        <f t="shared" si="18"/>
        <v/>
      </c>
    </row>
    <row r="499" spans="1:13" ht="15.75" customHeight="1">
      <c r="A499" s="529" t="s">
        <v>570</v>
      </c>
      <c r="B499" s="480" t="s">
        <v>2813</v>
      </c>
      <c r="C499" s="529" t="s">
        <v>2814</v>
      </c>
      <c r="D499" s="459" t="str">
        <f t="shared" si="17"/>
        <v xml:space="preserve">PSE Palestinian Territory, Occupied </v>
      </c>
      <c r="E499" s="457" t="s">
        <v>2815</v>
      </c>
      <c r="F499" s="460" t="s">
        <v>2816</v>
      </c>
      <c r="G499" s="457" t="s">
        <v>2817</v>
      </c>
      <c r="H499" s="457" t="s">
        <v>2818</v>
      </c>
      <c r="I499" s="457" t="s">
        <v>2819</v>
      </c>
      <c r="J499" s="460" t="str">
        <f t="shared" si="21"/>
        <v>[pt]Palästinensische Autonomiegebiete</v>
      </c>
      <c r="K499" s="460" t="str">
        <f t="shared" si="22"/>
        <v>[gr]Palästinensische Autonomiegebiete</v>
      </c>
      <c r="L499" s="531" t="s">
        <v>570</v>
      </c>
      <c r="M499" s="461" t="str">
        <f t="shared" si="18"/>
        <v/>
      </c>
    </row>
    <row r="500" spans="1:13" ht="15.75" customHeight="1">
      <c r="A500" s="529" t="s">
        <v>572</v>
      </c>
      <c r="B500" s="480" t="s">
        <v>2820</v>
      </c>
      <c r="C500" s="529" t="s">
        <v>2821</v>
      </c>
      <c r="D500" s="459" t="str">
        <f t="shared" si="17"/>
        <v xml:space="preserve">PYF French Polynesia </v>
      </c>
      <c r="E500" s="457" t="s">
        <v>2822</v>
      </c>
      <c r="F500" s="460" t="s">
        <v>2823</v>
      </c>
      <c r="G500" s="457" t="s">
        <v>2824</v>
      </c>
      <c r="H500" s="457" t="s">
        <v>2825</v>
      </c>
      <c r="I500" s="457" t="s">
        <v>2826</v>
      </c>
      <c r="J500" s="460" t="str">
        <f t="shared" si="21"/>
        <v>[pt]Französisch-Polynesien</v>
      </c>
      <c r="K500" s="460" t="str">
        <f t="shared" si="22"/>
        <v>[gr]Französisch-Polynesien</v>
      </c>
      <c r="L500" s="531" t="s">
        <v>572</v>
      </c>
      <c r="M500" s="461" t="str">
        <f t="shared" si="18"/>
        <v/>
      </c>
    </row>
    <row r="501" spans="1:13" ht="15.75" customHeight="1">
      <c r="A501" s="529" t="s">
        <v>574</v>
      </c>
      <c r="B501" s="480" t="s">
        <v>2827</v>
      </c>
      <c r="C501" s="529" t="s">
        <v>2828</v>
      </c>
      <c r="D501" s="459" t="str">
        <f t="shared" si="17"/>
        <v xml:space="preserve">QAT Qatar </v>
      </c>
      <c r="E501" s="457" t="s">
        <v>2829</v>
      </c>
      <c r="F501" s="460" t="s">
        <v>2830</v>
      </c>
      <c r="G501" s="457" t="s">
        <v>2830</v>
      </c>
      <c r="H501" s="457" t="s">
        <v>2831</v>
      </c>
      <c r="I501" s="457" t="s">
        <v>573</v>
      </c>
      <c r="J501" s="460" t="str">
        <f t="shared" si="21"/>
        <v>[pt]Katar</v>
      </c>
      <c r="K501" s="460" t="str">
        <f t="shared" si="22"/>
        <v>[gr]Katar</v>
      </c>
      <c r="L501" s="531" t="s">
        <v>574</v>
      </c>
      <c r="M501" s="461" t="str">
        <f t="shared" si="18"/>
        <v/>
      </c>
    </row>
    <row r="502" spans="1:13" ht="15.75" customHeight="1">
      <c r="A502" s="529" t="s">
        <v>576</v>
      </c>
      <c r="B502" s="480" t="s">
        <v>2832</v>
      </c>
      <c r="C502" s="529" t="s">
        <v>2833</v>
      </c>
      <c r="D502" s="459" t="str">
        <f t="shared" si="17"/>
        <v xml:space="preserve">ROU Romania </v>
      </c>
      <c r="E502" s="457" t="s">
        <v>2834</v>
      </c>
      <c r="F502" s="460" t="s">
        <v>2835</v>
      </c>
      <c r="G502" s="457" t="s">
        <v>2835</v>
      </c>
      <c r="H502" s="457" t="s">
        <v>2836</v>
      </c>
      <c r="I502" s="457" t="s">
        <v>2837</v>
      </c>
      <c r="J502" s="460" t="str">
        <f t="shared" si="21"/>
        <v>[pt]Rumänien</v>
      </c>
      <c r="K502" s="460" t="str">
        <f t="shared" si="22"/>
        <v>[gr]Rumänien</v>
      </c>
      <c r="L502" s="531" t="s">
        <v>576</v>
      </c>
      <c r="M502" s="461" t="str">
        <f t="shared" si="18"/>
        <v/>
      </c>
    </row>
    <row r="503" spans="1:13" ht="15.75" customHeight="1">
      <c r="A503" s="529" t="s">
        <v>578</v>
      </c>
      <c r="B503" s="480" t="s">
        <v>2838</v>
      </c>
      <c r="C503" s="529" t="s">
        <v>2839</v>
      </c>
      <c r="D503" s="459" t="str">
        <f t="shared" si="17"/>
        <v xml:space="preserve">RUS Russian Federation </v>
      </c>
      <c r="E503" s="457" t="s">
        <v>2840</v>
      </c>
      <c r="F503" s="460" t="s">
        <v>2841</v>
      </c>
      <c r="G503" s="457" t="s">
        <v>2842</v>
      </c>
      <c r="H503" s="457" t="s">
        <v>2843</v>
      </c>
      <c r="I503" s="457" t="s">
        <v>2844</v>
      </c>
      <c r="J503" s="460" t="str">
        <f t="shared" si="21"/>
        <v>[pt]Russische Föderation</v>
      </c>
      <c r="K503" s="460" t="str">
        <f t="shared" si="22"/>
        <v>[gr]Russische Föderation</v>
      </c>
      <c r="L503" s="531" t="s">
        <v>578</v>
      </c>
      <c r="M503" s="461" t="str">
        <f t="shared" si="18"/>
        <v/>
      </c>
    </row>
    <row r="504" spans="1:13" ht="15.75" customHeight="1">
      <c r="A504" s="529" t="s">
        <v>580</v>
      </c>
      <c r="B504" s="480" t="s">
        <v>2845</v>
      </c>
      <c r="C504" s="529" t="s">
        <v>2846</v>
      </c>
      <c r="D504" s="459" t="str">
        <f t="shared" si="17"/>
        <v xml:space="preserve">RWA Rwanda </v>
      </c>
      <c r="E504" s="457" t="s">
        <v>2847</v>
      </c>
      <c r="F504" s="460" t="s">
        <v>2848</v>
      </c>
      <c r="G504" s="457" t="s">
        <v>2849</v>
      </c>
      <c r="H504" s="457" t="s">
        <v>2847</v>
      </c>
      <c r="I504" s="457" t="s">
        <v>579</v>
      </c>
      <c r="J504" s="460" t="str">
        <f t="shared" si="21"/>
        <v>[pt]Ruanda</v>
      </c>
      <c r="K504" s="460" t="str">
        <f t="shared" si="22"/>
        <v>[gr]Ruanda</v>
      </c>
      <c r="L504" s="531" t="s">
        <v>580</v>
      </c>
      <c r="M504" s="461" t="str">
        <f t="shared" si="18"/>
        <v/>
      </c>
    </row>
    <row r="505" spans="1:13" ht="15.75" customHeight="1">
      <c r="A505" s="529" t="s">
        <v>582</v>
      </c>
      <c r="B505" s="480" t="s">
        <v>2850</v>
      </c>
      <c r="C505" s="529" t="s">
        <v>2851</v>
      </c>
      <c r="D505" s="459" t="str">
        <f t="shared" si="17"/>
        <v xml:space="preserve">SAU Saudi Arabia </v>
      </c>
      <c r="E505" s="457" t="s">
        <v>2852</v>
      </c>
      <c r="F505" s="460" t="s">
        <v>2853</v>
      </c>
      <c r="G505" s="457" t="s">
        <v>2854</v>
      </c>
      <c r="H505" s="457" t="s">
        <v>2855</v>
      </c>
      <c r="I505" s="457" t="s">
        <v>2856</v>
      </c>
      <c r="J505" s="460" t="str">
        <f t="shared" si="21"/>
        <v>[pt]Saudi-Arabien</v>
      </c>
      <c r="K505" s="460" t="str">
        <f t="shared" si="22"/>
        <v>[gr]Saudi-Arabien</v>
      </c>
      <c r="L505" s="531" t="s">
        <v>582</v>
      </c>
      <c r="M505" s="461" t="str">
        <f t="shared" si="18"/>
        <v/>
      </c>
    </row>
    <row r="506" spans="1:13" ht="15.75" customHeight="1">
      <c r="A506" s="529" t="s">
        <v>584</v>
      </c>
      <c r="B506" s="480" t="s">
        <v>2857</v>
      </c>
      <c r="C506" s="529" t="s">
        <v>2858</v>
      </c>
      <c r="D506" s="459" t="str">
        <f t="shared" si="17"/>
        <v xml:space="preserve">SDN Sudan </v>
      </c>
      <c r="E506" s="457" t="s">
        <v>583</v>
      </c>
      <c r="F506" s="460" t="s">
        <v>2859</v>
      </c>
      <c r="G506" s="457" t="s">
        <v>2859</v>
      </c>
      <c r="H506" s="457" t="s">
        <v>2860</v>
      </c>
      <c r="I506" s="457" t="s">
        <v>2861</v>
      </c>
      <c r="J506" s="460" t="str">
        <f t="shared" si="21"/>
        <v>[pt]Sudan</v>
      </c>
      <c r="K506" s="460" t="str">
        <f t="shared" si="22"/>
        <v>[gr]Sudan</v>
      </c>
      <c r="L506" s="531" t="s">
        <v>584</v>
      </c>
      <c r="M506" s="461" t="str">
        <f t="shared" si="18"/>
        <v/>
      </c>
    </row>
    <row r="507" spans="1:13" ht="15.75" customHeight="1">
      <c r="A507" s="529" t="s">
        <v>586</v>
      </c>
      <c r="B507" s="480" t="s">
        <v>2862</v>
      </c>
      <c r="C507" s="529" t="s">
        <v>2863</v>
      </c>
      <c r="D507" s="459" t="str">
        <f t="shared" si="17"/>
        <v xml:space="preserve">SEN Senegal </v>
      </c>
      <c r="E507" s="457" t="s">
        <v>585</v>
      </c>
      <c r="F507" s="460" t="s">
        <v>2864</v>
      </c>
      <c r="G507" s="457" t="s">
        <v>2864</v>
      </c>
      <c r="H507" s="457" t="s">
        <v>585</v>
      </c>
      <c r="I507" s="457" t="s">
        <v>2865</v>
      </c>
      <c r="J507" s="460" t="str">
        <f t="shared" si="21"/>
        <v>[pt]Senegal</v>
      </c>
      <c r="K507" s="460" t="str">
        <f t="shared" si="22"/>
        <v>[gr]Senegal</v>
      </c>
      <c r="L507" s="531" t="s">
        <v>586</v>
      </c>
      <c r="M507" s="461" t="str">
        <f t="shared" si="18"/>
        <v/>
      </c>
    </row>
    <row r="508" spans="1:13" ht="15.75" customHeight="1">
      <c r="A508" s="529" t="s">
        <v>588</v>
      </c>
      <c r="B508" s="480" t="s">
        <v>2866</v>
      </c>
      <c r="C508" s="529" t="s">
        <v>2867</v>
      </c>
      <c r="D508" s="459" t="str">
        <f t="shared" si="17"/>
        <v xml:space="preserve">SGP Singapore </v>
      </c>
      <c r="E508" s="457" t="s">
        <v>2868</v>
      </c>
      <c r="F508" s="460" t="s">
        <v>2869</v>
      </c>
      <c r="G508" s="457" t="s">
        <v>2869</v>
      </c>
      <c r="H508" s="457" t="s">
        <v>2868</v>
      </c>
      <c r="I508" s="457" t="s">
        <v>2870</v>
      </c>
      <c r="J508" s="460" t="str">
        <f t="shared" si="21"/>
        <v>[pt]Singapur</v>
      </c>
      <c r="K508" s="460" t="str">
        <f t="shared" si="22"/>
        <v>[gr]Singapur</v>
      </c>
      <c r="L508" s="531" t="s">
        <v>588</v>
      </c>
      <c r="M508" s="461" t="str">
        <f t="shared" si="18"/>
        <v/>
      </c>
    </row>
    <row r="509" spans="1:13" ht="15.75" customHeight="1">
      <c r="A509" s="529" t="s">
        <v>590</v>
      </c>
      <c r="B509" s="480" t="s">
        <v>2871</v>
      </c>
      <c r="C509" s="529" t="s">
        <v>2872</v>
      </c>
      <c r="D509" s="459" t="str">
        <f t="shared" si="17"/>
        <v xml:space="preserve">SLB Solomon Islands </v>
      </c>
      <c r="E509" s="457" t="s">
        <v>2873</v>
      </c>
      <c r="F509" s="460" t="s">
        <v>2874</v>
      </c>
      <c r="G509" s="457" t="s">
        <v>2875</v>
      </c>
      <c r="H509" s="457" t="s">
        <v>2876</v>
      </c>
      <c r="I509" s="457" t="s">
        <v>2877</v>
      </c>
      <c r="J509" s="460" t="str">
        <f t="shared" si="21"/>
        <v>[pt]Salomonen</v>
      </c>
      <c r="K509" s="460" t="str">
        <f t="shared" si="22"/>
        <v>[gr]Salomonen</v>
      </c>
      <c r="L509" s="531" t="s">
        <v>590</v>
      </c>
      <c r="M509" s="461" t="str">
        <f t="shared" si="18"/>
        <v/>
      </c>
    </row>
    <row r="510" spans="1:13" ht="15.75" customHeight="1">
      <c r="A510" s="529" t="s">
        <v>592</v>
      </c>
      <c r="B510" s="480" t="s">
        <v>2878</v>
      </c>
      <c r="C510" s="529" t="s">
        <v>2879</v>
      </c>
      <c r="D510" s="459" t="str">
        <f t="shared" si="17"/>
        <v xml:space="preserve">SLE Sierra Leone </v>
      </c>
      <c r="E510" s="457" t="s">
        <v>591</v>
      </c>
      <c r="F510" s="460" t="s">
        <v>2880</v>
      </c>
      <c r="G510" s="457" t="s">
        <v>2880</v>
      </c>
      <c r="H510" s="457" t="s">
        <v>2881</v>
      </c>
      <c r="I510" s="457" t="s">
        <v>591</v>
      </c>
      <c r="J510" s="460" t="str">
        <f t="shared" si="21"/>
        <v>[pt]Sierra Leone</v>
      </c>
      <c r="K510" s="460" t="str">
        <f t="shared" si="22"/>
        <v>[gr]Sierra Leone</v>
      </c>
      <c r="L510" s="531" t="s">
        <v>592</v>
      </c>
      <c r="M510" s="461" t="str">
        <f t="shared" si="18"/>
        <v/>
      </c>
    </row>
    <row r="511" spans="1:13" ht="15.75" customHeight="1">
      <c r="A511" s="529" t="s">
        <v>594</v>
      </c>
      <c r="B511" s="480" t="s">
        <v>2882</v>
      </c>
      <c r="C511" s="529" t="s">
        <v>2883</v>
      </c>
      <c r="D511" s="459" t="str">
        <f t="shared" si="17"/>
        <v xml:space="preserve">SLV El Salvador </v>
      </c>
      <c r="E511" s="457" t="s">
        <v>593</v>
      </c>
      <c r="F511" s="460" t="s">
        <v>2884</v>
      </c>
      <c r="G511" s="457" t="s">
        <v>2884</v>
      </c>
      <c r="H511" s="457" t="s">
        <v>593</v>
      </c>
      <c r="I511" s="457" t="s">
        <v>2885</v>
      </c>
      <c r="J511" s="460" t="str">
        <f t="shared" si="21"/>
        <v>[pt]El Salvador</v>
      </c>
      <c r="K511" s="460" t="str">
        <f t="shared" si="22"/>
        <v>[gr]El Salvador</v>
      </c>
      <c r="L511" s="531" t="s">
        <v>594</v>
      </c>
      <c r="M511" s="461" t="str">
        <f t="shared" si="18"/>
        <v/>
      </c>
    </row>
    <row r="512" spans="1:13" ht="15.75" customHeight="1">
      <c r="A512" s="529" t="s">
        <v>596</v>
      </c>
      <c r="B512" s="480" t="s">
        <v>2886</v>
      </c>
      <c r="C512" s="529" t="s">
        <v>2887</v>
      </c>
      <c r="D512" s="459" t="str">
        <f t="shared" si="17"/>
        <v xml:space="preserve">SMR San Marino </v>
      </c>
      <c r="E512" s="457" t="s">
        <v>595</v>
      </c>
      <c r="F512" s="460" t="s">
        <v>2888</v>
      </c>
      <c r="G512" s="457" t="s">
        <v>2888</v>
      </c>
      <c r="H512" s="457" t="s">
        <v>595</v>
      </c>
      <c r="I512" s="457" t="s">
        <v>2889</v>
      </c>
      <c r="J512" s="460" t="str">
        <f t="shared" si="21"/>
        <v>[pt]San Marino</v>
      </c>
      <c r="K512" s="460" t="str">
        <f t="shared" si="22"/>
        <v>[gr]San Marino</v>
      </c>
      <c r="L512" s="531" t="s">
        <v>596</v>
      </c>
      <c r="M512" s="461" t="str">
        <f t="shared" si="18"/>
        <v/>
      </c>
    </row>
    <row r="513" spans="1:13" ht="15.75" customHeight="1">
      <c r="A513" s="529" t="s">
        <v>598</v>
      </c>
      <c r="B513" s="480" t="s">
        <v>2890</v>
      </c>
      <c r="C513" s="529" t="s">
        <v>2891</v>
      </c>
      <c r="D513" s="459" t="str">
        <f t="shared" si="17"/>
        <v xml:space="preserve">SOM Somalia </v>
      </c>
      <c r="E513" s="457" t="s">
        <v>597</v>
      </c>
      <c r="F513" s="460" t="s">
        <v>2892</v>
      </c>
      <c r="G513" s="457" t="s">
        <v>2892</v>
      </c>
      <c r="H513" s="457" t="s">
        <v>597</v>
      </c>
      <c r="I513" s="457" t="s">
        <v>2893</v>
      </c>
      <c r="J513" s="460" t="str">
        <f t="shared" si="21"/>
        <v>[pt]Somalia</v>
      </c>
      <c r="K513" s="460" t="str">
        <f t="shared" si="22"/>
        <v>[gr]Somalia</v>
      </c>
      <c r="L513" s="531" t="s">
        <v>598</v>
      </c>
      <c r="M513" s="461" t="str">
        <f t="shared" si="18"/>
        <v/>
      </c>
    </row>
    <row r="514" spans="1:13" ht="15.75" customHeight="1">
      <c r="A514" s="529" t="s">
        <v>600</v>
      </c>
      <c r="B514" s="480" t="s">
        <v>2894</v>
      </c>
      <c r="C514" s="529" t="s">
        <v>2895</v>
      </c>
      <c r="D514" s="459" t="str">
        <f t="shared" si="17"/>
        <v xml:space="preserve">SRB Serbia </v>
      </c>
      <c r="E514" s="457" t="s">
        <v>2896</v>
      </c>
      <c r="F514" s="460" t="s">
        <v>2897</v>
      </c>
      <c r="G514" s="457" t="s">
        <v>2897</v>
      </c>
      <c r="H514" s="457" t="s">
        <v>599</v>
      </c>
      <c r="I514" s="457" t="s">
        <v>2898</v>
      </c>
      <c r="J514" s="460" t="str">
        <f t="shared" si="21"/>
        <v>[pt]Serbien</v>
      </c>
      <c r="K514" s="460" t="str">
        <f t="shared" si="22"/>
        <v>[gr]Serbien</v>
      </c>
      <c r="L514" s="531" t="s">
        <v>600</v>
      </c>
      <c r="M514" s="461" t="str">
        <f t="shared" si="18"/>
        <v/>
      </c>
    </row>
    <row r="515" spans="1:13" ht="15.75" customHeight="1">
      <c r="A515" s="529" t="s">
        <v>602</v>
      </c>
      <c r="B515" s="480"/>
      <c r="C515" s="529" t="s">
        <v>2899</v>
      </c>
      <c r="D515" s="459" t="str">
        <f t="shared" si="17"/>
        <v xml:space="preserve">SSD South Sudan </v>
      </c>
      <c r="E515" s="457" t="s">
        <v>2900</v>
      </c>
      <c r="F515" s="460" t="s">
        <v>2901</v>
      </c>
      <c r="G515" s="457" t="s">
        <v>2902</v>
      </c>
      <c r="H515" s="457" t="s">
        <v>2903</v>
      </c>
      <c r="I515" s="457" t="s">
        <v>2904</v>
      </c>
      <c r="J515" s="460" t="str">
        <f t="shared" si="21"/>
        <v>[pt]Südsudan</v>
      </c>
      <c r="K515" s="460" t="str">
        <f t="shared" si="22"/>
        <v>[gr]Südsudan</v>
      </c>
      <c r="L515" s="531" t="s">
        <v>602</v>
      </c>
      <c r="M515" s="461" t="str">
        <f t="shared" si="18"/>
        <v/>
      </c>
    </row>
    <row r="516" spans="1:13" ht="15.75" customHeight="1">
      <c r="A516" s="529" t="s">
        <v>604</v>
      </c>
      <c r="B516" s="480" t="s">
        <v>2905</v>
      </c>
      <c r="C516" s="529" t="s">
        <v>2906</v>
      </c>
      <c r="D516" s="459" t="str">
        <f t="shared" si="17"/>
        <v xml:space="preserve">STP Sao Tome and Principe </v>
      </c>
      <c r="E516" s="457" t="s">
        <v>2907</v>
      </c>
      <c r="F516" s="460" t="s">
        <v>2908</v>
      </c>
      <c r="G516" s="457" t="s">
        <v>2909</v>
      </c>
      <c r="H516" s="457" t="s">
        <v>2910</v>
      </c>
      <c r="I516" s="457" t="s">
        <v>2911</v>
      </c>
      <c r="J516" s="460" t="str">
        <f t="shared" si="21"/>
        <v>[pt]São Tomé und Príncipe</v>
      </c>
      <c r="K516" s="460" t="str">
        <f t="shared" si="22"/>
        <v>[gr]São Tomé und Príncipe</v>
      </c>
      <c r="L516" s="531" t="s">
        <v>604</v>
      </c>
      <c r="M516" s="461" t="str">
        <f t="shared" si="18"/>
        <v/>
      </c>
    </row>
    <row r="517" spans="1:13" ht="15.75" customHeight="1">
      <c r="A517" s="529" t="s">
        <v>606</v>
      </c>
      <c r="B517" s="480" t="s">
        <v>2912</v>
      </c>
      <c r="C517" s="529" t="s">
        <v>2913</v>
      </c>
      <c r="D517" s="459" t="str">
        <f t="shared" si="17"/>
        <v xml:space="preserve">SUR Suriname </v>
      </c>
      <c r="E517" s="457" t="s">
        <v>605</v>
      </c>
      <c r="F517" s="460" t="s">
        <v>2914</v>
      </c>
      <c r="G517" s="457" t="s">
        <v>2914</v>
      </c>
      <c r="H517" s="457" t="s">
        <v>2915</v>
      </c>
      <c r="I517" s="457" t="s">
        <v>2915</v>
      </c>
      <c r="J517" s="460" t="str">
        <f t="shared" si="21"/>
        <v>[pt]Suriname</v>
      </c>
      <c r="K517" s="460" t="str">
        <f t="shared" si="22"/>
        <v>[gr]Suriname</v>
      </c>
      <c r="L517" s="531" t="s">
        <v>606</v>
      </c>
      <c r="M517" s="461" t="str">
        <f t="shared" si="18"/>
        <v/>
      </c>
    </row>
    <row r="518" spans="1:13" ht="15.75" customHeight="1">
      <c r="A518" s="529" t="s">
        <v>608</v>
      </c>
      <c r="B518" s="480" t="s">
        <v>2916</v>
      </c>
      <c r="C518" s="529" t="s">
        <v>2917</v>
      </c>
      <c r="D518" s="459" t="str">
        <f t="shared" si="17"/>
        <v xml:space="preserve">SVK Slovakia </v>
      </c>
      <c r="E518" s="457" t="s">
        <v>2918</v>
      </c>
      <c r="F518" s="460" t="s">
        <v>2919</v>
      </c>
      <c r="G518" s="457" t="s">
        <v>2920</v>
      </c>
      <c r="H518" s="457" t="s">
        <v>2921</v>
      </c>
      <c r="I518" s="457" t="s">
        <v>2922</v>
      </c>
      <c r="J518" s="460" t="str">
        <f t="shared" si="21"/>
        <v>[pt]Slowakei</v>
      </c>
      <c r="K518" s="460" t="str">
        <f t="shared" si="22"/>
        <v>[gr]Slowakei</v>
      </c>
      <c r="L518" s="531" t="s">
        <v>608</v>
      </c>
      <c r="M518" s="461" t="str">
        <f t="shared" si="18"/>
        <v/>
      </c>
    </row>
    <row r="519" spans="1:13" ht="15.75" customHeight="1">
      <c r="A519" s="529" t="s">
        <v>610</v>
      </c>
      <c r="B519" s="480" t="s">
        <v>2923</v>
      </c>
      <c r="C519" s="529" t="s">
        <v>2924</v>
      </c>
      <c r="D519" s="459" t="str">
        <f t="shared" si="17"/>
        <v xml:space="preserve">SVN Slovenia </v>
      </c>
      <c r="E519" s="457" t="s">
        <v>2925</v>
      </c>
      <c r="F519" s="460" t="s">
        <v>2926</v>
      </c>
      <c r="G519" s="457" t="s">
        <v>2926</v>
      </c>
      <c r="H519" s="457" t="s">
        <v>2927</v>
      </c>
      <c r="I519" s="457" t="s">
        <v>2928</v>
      </c>
      <c r="J519" s="460" t="str">
        <f t="shared" si="21"/>
        <v>[pt]Slowenien</v>
      </c>
      <c r="K519" s="460" t="str">
        <f t="shared" si="22"/>
        <v>[gr]Slowenien</v>
      </c>
      <c r="L519" s="531" t="s">
        <v>610</v>
      </c>
      <c r="M519" s="461" t="str">
        <f t="shared" si="18"/>
        <v/>
      </c>
    </row>
    <row r="520" spans="1:13" ht="15.75" customHeight="1">
      <c r="A520" s="529" t="s">
        <v>612</v>
      </c>
      <c r="B520" s="480" t="s">
        <v>2929</v>
      </c>
      <c r="C520" s="529" t="s">
        <v>2930</v>
      </c>
      <c r="D520" s="459" t="str">
        <f t="shared" si="17"/>
        <v xml:space="preserve">SWE Sweden </v>
      </c>
      <c r="E520" s="457" t="s">
        <v>2931</v>
      </c>
      <c r="F520" s="460" t="s">
        <v>2932</v>
      </c>
      <c r="G520" s="457" t="s">
        <v>2933</v>
      </c>
      <c r="H520" s="457" t="s">
        <v>2934</v>
      </c>
      <c r="I520" s="457" t="s">
        <v>2935</v>
      </c>
      <c r="J520" s="460" t="str">
        <f t="shared" si="21"/>
        <v>[pt]Schweden</v>
      </c>
      <c r="K520" s="460" t="str">
        <f t="shared" si="22"/>
        <v>[gr]Schweden</v>
      </c>
      <c r="L520" s="531" t="s">
        <v>612</v>
      </c>
      <c r="M520" s="461" t="str">
        <f t="shared" si="18"/>
        <v/>
      </c>
    </row>
    <row r="521" spans="1:13" ht="15.75" customHeight="1">
      <c r="A521" s="529" t="s">
        <v>614</v>
      </c>
      <c r="B521" s="480" t="s">
        <v>2936</v>
      </c>
      <c r="C521" s="529" t="s">
        <v>2937</v>
      </c>
      <c r="D521" s="459" t="str">
        <f t="shared" si="17"/>
        <v xml:space="preserve">SWZ Swaziland </v>
      </c>
      <c r="E521" s="457" t="s">
        <v>2938</v>
      </c>
      <c r="F521" s="460" t="s">
        <v>2939</v>
      </c>
      <c r="G521" s="457" t="s">
        <v>2939</v>
      </c>
      <c r="H521" s="457" t="s">
        <v>2940</v>
      </c>
      <c r="I521" s="457" t="s">
        <v>613</v>
      </c>
      <c r="J521" s="460" t="str">
        <f t="shared" ref="J521:J552" si="23">"[pt]"&amp;E521</f>
        <v>[pt]Swasiland</v>
      </c>
      <c r="K521" s="460" t="str">
        <f t="shared" ref="K521:K552" si="24">"[gr]"&amp;E521</f>
        <v>[gr]Swasiland</v>
      </c>
      <c r="L521" s="531" t="s">
        <v>614</v>
      </c>
      <c r="M521" s="461" t="str">
        <f t="shared" si="18"/>
        <v/>
      </c>
    </row>
    <row r="522" spans="1:13" ht="15.75" customHeight="1">
      <c r="A522" s="529" t="s">
        <v>616</v>
      </c>
      <c r="B522" s="480" t="s">
        <v>2941</v>
      </c>
      <c r="C522" s="529" t="s">
        <v>2942</v>
      </c>
      <c r="D522" s="459" t="str">
        <f t="shared" si="17"/>
        <v xml:space="preserve">SXM Sint Maarten (Dutch part) </v>
      </c>
      <c r="E522" s="457" t="s">
        <v>2943</v>
      </c>
      <c r="F522" s="460" t="s">
        <v>2944</v>
      </c>
      <c r="G522" s="457" t="s">
        <v>2945</v>
      </c>
      <c r="H522" s="457" t="s">
        <v>2946</v>
      </c>
      <c r="I522" s="457" t="s">
        <v>2596</v>
      </c>
      <c r="J522" s="460" t="str">
        <f t="shared" si="23"/>
        <v>[pt]Sint Maarten (niederl. Teil)</v>
      </c>
      <c r="K522" s="460" t="str">
        <f t="shared" si="24"/>
        <v>[gr]Sint Maarten (niederl. Teil)</v>
      </c>
      <c r="L522" s="531" t="s">
        <v>616</v>
      </c>
      <c r="M522" s="461" t="str">
        <f t="shared" si="18"/>
        <v/>
      </c>
    </row>
    <row r="523" spans="1:13" ht="15.75" customHeight="1">
      <c r="A523" s="529" t="s">
        <v>618</v>
      </c>
      <c r="B523" s="480" t="s">
        <v>2947</v>
      </c>
      <c r="C523" s="529" t="s">
        <v>2948</v>
      </c>
      <c r="D523" s="459" t="str">
        <f t="shared" si="17"/>
        <v xml:space="preserve">SYC Seychelles </v>
      </c>
      <c r="E523" s="457" t="s">
        <v>2949</v>
      </c>
      <c r="F523" s="460" t="s">
        <v>2950</v>
      </c>
      <c r="G523" s="457" t="s">
        <v>2950</v>
      </c>
      <c r="H523" s="457" t="s">
        <v>617</v>
      </c>
      <c r="I523" s="457" t="s">
        <v>617</v>
      </c>
      <c r="J523" s="460" t="str">
        <f t="shared" si="23"/>
        <v>[pt]Seychellen</v>
      </c>
      <c r="K523" s="460" t="str">
        <f t="shared" si="24"/>
        <v>[gr]Seychellen</v>
      </c>
      <c r="L523" s="531" t="s">
        <v>618</v>
      </c>
      <c r="M523" s="461" t="str">
        <f t="shared" si="18"/>
        <v/>
      </c>
    </row>
    <row r="524" spans="1:13" ht="15.75" customHeight="1">
      <c r="A524" s="529" t="s">
        <v>620</v>
      </c>
      <c r="B524" s="480" t="s">
        <v>2951</v>
      </c>
      <c r="C524" s="529" t="s">
        <v>2952</v>
      </c>
      <c r="D524" s="459" t="str">
        <f t="shared" si="17"/>
        <v xml:space="preserve">SYR Syrian Arab Republic </v>
      </c>
      <c r="E524" s="457" t="s">
        <v>2953</v>
      </c>
      <c r="F524" s="460" t="s">
        <v>2954</v>
      </c>
      <c r="G524" s="457" t="s">
        <v>2955</v>
      </c>
      <c r="H524" s="457" t="s">
        <v>2956</v>
      </c>
      <c r="I524" s="457" t="s">
        <v>2957</v>
      </c>
      <c r="J524" s="460" t="str">
        <f t="shared" si="23"/>
        <v>[pt]Syrien, Arabische Republik</v>
      </c>
      <c r="K524" s="460" t="str">
        <f t="shared" si="24"/>
        <v>[gr]Syrien, Arabische Republik</v>
      </c>
      <c r="L524" s="531" t="s">
        <v>620</v>
      </c>
      <c r="M524" s="461" t="str">
        <f t="shared" si="18"/>
        <v/>
      </c>
    </row>
    <row r="525" spans="1:13" ht="15.75" customHeight="1">
      <c r="A525" s="529" t="s">
        <v>622</v>
      </c>
      <c r="B525" s="480" t="s">
        <v>2958</v>
      </c>
      <c r="C525" s="529" t="s">
        <v>2959</v>
      </c>
      <c r="D525" s="459" t="str">
        <f t="shared" si="17"/>
        <v xml:space="preserve">TCA Turks and Caicos Islands </v>
      </c>
      <c r="E525" s="457" t="s">
        <v>2960</v>
      </c>
      <c r="F525" s="460" t="s">
        <v>2961</v>
      </c>
      <c r="G525" s="457" t="s">
        <v>2962</v>
      </c>
      <c r="H525" s="457" t="s">
        <v>2963</v>
      </c>
      <c r="I525" s="457" t="s">
        <v>2964</v>
      </c>
      <c r="J525" s="460" t="str">
        <f t="shared" si="23"/>
        <v>[pt]Turks- und Caicosinseln</v>
      </c>
      <c r="K525" s="460" t="str">
        <f t="shared" si="24"/>
        <v>[gr]Turks- und Caicosinseln</v>
      </c>
      <c r="L525" s="531" t="s">
        <v>622</v>
      </c>
      <c r="M525" s="461" t="str">
        <f t="shared" si="18"/>
        <v/>
      </c>
    </row>
    <row r="526" spans="1:13" ht="15.75" customHeight="1">
      <c r="A526" s="529" t="s">
        <v>624</v>
      </c>
      <c r="B526" s="480" t="s">
        <v>2965</v>
      </c>
      <c r="C526" s="529" t="s">
        <v>2966</v>
      </c>
      <c r="D526" s="459" t="str">
        <f t="shared" si="17"/>
        <v xml:space="preserve">TCD Chad </v>
      </c>
      <c r="E526" s="457" t="s">
        <v>2967</v>
      </c>
      <c r="F526" s="460" t="s">
        <v>2968</v>
      </c>
      <c r="G526" s="457" t="s">
        <v>2969</v>
      </c>
      <c r="H526" s="457" t="s">
        <v>623</v>
      </c>
      <c r="I526" s="457" t="s">
        <v>2970</v>
      </c>
      <c r="J526" s="460" t="str">
        <f t="shared" si="23"/>
        <v>[pt]Tschad</v>
      </c>
      <c r="K526" s="460" t="str">
        <f t="shared" si="24"/>
        <v>[gr]Tschad</v>
      </c>
      <c r="L526" s="531" t="s">
        <v>624</v>
      </c>
      <c r="M526" s="461" t="str">
        <f t="shared" si="18"/>
        <v/>
      </c>
    </row>
    <row r="527" spans="1:13" ht="15.75" customHeight="1">
      <c r="A527" s="529" t="s">
        <v>626</v>
      </c>
      <c r="B527" s="480" t="s">
        <v>2971</v>
      </c>
      <c r="C527" s="529" t="s">
        <v>2972</v>
      </c>
      <c r="D527" s="459" t="str">
        <f t="shared" si="17"/>
        <v xml:space="preserve">TGO Togo </v>
      </c>
      <c r="E527" s="457" t="s">
        <v>625</v>
      </c>
      <c r="F527" s="460" t="s">
        <v>2973</v>
      </c>
      <c r="G527" s="457" t="s">
        <v>2973</v>
      </c>
      <c r="H527" s="457" t="s">
        <v>625</v>
      </c>
      <c r="I527" s="457" t="s">
        <v>625</v>
      </c>
      <c r="J527" s="460" t="str">
        <f t="shared" si="23"/>
        <v>[pt]Togo</v>
      </c>
      <c r="K527" s="460" t="str">
        <f t="shared" si="24"/>
        <v>[gr]Togo</v>
      </c>
      <c r="L527" s="531" t="s">
        <v>626</v>
      </c>
      <c r="M527" s="461" t="str">
        <f t="shared" si="18"/>
        <v/>
      </c>
    </row>
    <row r="528" spans="1:13" ht="15.75" customHeight="1">
      <c r="A528" s="529" t="s">
        <v>628</v>
      </c>
      <c r="B528" s="480" t="s">
        <v>2974</v>
      </c>
      <c r="C528" s="529" t="s">
        <v>2975</v>
      </c>
      <c r="D528" s="459" t="str">
        <f t="shared" si="17"/>
        <v xml:space="preserve">THA Thailand </v>
      </c>
      <c r="E528" s="457" t="s">
        <v>627</v>
      </c>
      <c r="F528" s="460" t="s">
        <v>2976</v>
      </c>
      <c r="G528" s="457" t="s">
        <v>2977</v>
      </c>
      <c r="H528" s="457" t="s">
        <v>2978</v>
      </c>
      <c r="I528" s="457" t="s">
        <v>2979</v>
      </c>
      <c r="J528" s="460" t="str">
        <f t="shared" si="23"/>
        <v>[pt]Thailand</v>
      </c>
      <c r="K528" s="460" t="str">
        <f t="shared" si="24"/>
        <v>[gr]Thailand</v>
      </c>
      <c r="L528" s="531" t="s">
        <v>628</v>
      </c>
      <c r="M528" s="461" t="str">
        <f t="shared" si="18"/>
        <v/>
      </c>
    </row>
    <row r="529" spans="1:13" ht="15.75" customHeight="1">
      <c r="A529" s="529" t="s">
        <v>630</v>
      </c>
      <c r="B529" s="480" t="s">
        <v>2980</v>
      </c>
      <c r="C529" s="529" t="s">
        <v>2981</v>
      </c>
      <c r="D529" s="459" t="str">
        <f t="shared" si="17"/>
        <v xml:space="preserve">TJK Tajikistan </v>
      </c>
      <c r="E529" s="457" t="s">
        <v>2982</v>
      </c>
      <c r="F529" s="460" t="s">
        <v>2983</v>
      </c>
      <c r="G529" s="457" t="s">
        <v>2984</v>
      </c>
      <c r="H529" s="457" t="s">
        <v>2985</v>
      </c>
      <c r="I529" s="457" t="s">
        <v>629</v>
      </c>
      <c r="J529" s="460" t="str">
        <f t="shared" si="23"/>
        <v>[pt]Tadschikistan</v>
      </c>
      <c r="K529" s="460" t="str">
        <f t="shared" si="24"/>
        <v>[gr]Tadschikistan</v>
      </c>
      <c r="L529" s="531" t="s">
        <v>630</v>
      </c>
      <c r="M529" s="461" t="str">
        <f t="shared" si="18"/>
        <v/>
      </c>
    </row>
    <row r="530" spans="1:13" ht="15.75" customHeight="1">
      <c r="A530" s="529" t="s">
        <v>632</v>
      </c>
      <c r="B530" s="480" t="s">
        <v>2986</v>
      </c>
      <c r="C530" s="529" t="s">
        <v>2987</v>
      </c>
      <c r="D530" s="459" t="str">
        <f t="shared" si="17"/>
        <v xml:space="preserve">TKM Turkmenistan </v>
      </c>
      <c r="E530" s="457" t="s">
        <v>631</v>
      </c>
      <c r="F530" s="460" t="s">
        <v>2988</v>
      </c>
      <c r="G530" s="457" t="s">
        <v>2988</v>
      </c>
      <c r="H530" s="457" t="s">
        <v>2989</v>
      </c>
      <c r="I530" s="457" t="s">
        <v>2990</v>
      </c>
      <c r="J530" s="460" t="str">
        <f t="shared" si="23"/>
        <v>[pt]Turkmenistan</v>
      </c>
      <c r="K530" s="460" t="str">
        <f t="shared" si="24"/>
        <v>[gr]Turkmenistan</v>
      </c>
      <c r="L530" s="531" t="s">
        <v>632</v>
      </c>
      <c r="M530" s="461" t="str">
        <f t="shared" si="18"/>
        <v/>
      </c>
    </row>
    <row r="531" spans="1:13" ht="15.75" customHeight="1">
      <c r="A531" s="529" t="s">
        <v>634</v>
      </c>
      <c r="B531" s="480" t="s">
        <v>2991</v>
      </c>
      <c r="C531" s="529" t="s">
        <v>2992</v>
      </c>
      <c r="D531" s="459" t="str">
        <f t="shared" si="17"/>
        <v xml:space="preserve">TLS Timor-Leste </v>
      </c>
      <c r="E531" s="457" t="s">
        <v>2993</v>
      </c>
      <c r="F531" s="460" t="s">
        <v>2994</v>
      </c>
      <c r="G531" s="457" t="s">
        <v>2995</v>
      </c>
      <c r="H531" s="457" t="s">
        <v>2996</v>
      </c>
      <c r="I531" s="457" t="s">
        <v>2997</v>
      </c>
      <c r="J531" s="460" t="str">
        <f t="shared" si="23"/>
        <v>[pt]Osttimor (Timor-Leste)</v>
      </c>
      <c r="K531" s="460" t="str">
        <f t="shared" si="24"/>
        <v>[gr]Osttimor (Timor-Leste)</v>
      </c>
      <c r="L531" s="531" t="s">
        <v>634</v>
      </c>
      <c r="M531" s="461" t="str">
        <f t="shared" si="18"/>
        <v/>
      </c>
    </row>
    <row r="532" spans="1:13" ht="15.75" customHeight="1">
      <c r="A532" s="529" t="s">
        <v>636</v>
      </c>
      <c r="B532" s="480" t="s">
        <v>2998</v>
      </c>
      <c r="C532" s="529" t="s">
        <v>2999</v>
      </c>
      <c r="D532" s="459" t="str">
        <f t="shared" si="17"/>
        <v xml:space="preserve">TON Tonga </v>
      </c>
      <c r="E532" s="457" t="s">
        <v>635</v>
      </c>
      <c r="F532" s="460" t="s">
        <v>3000</v>
      </c>
      <c r="G532" s="457" t="s">
        <v>3000</v>
      </c>
      <c r="H532" s="457" t="s">
        <v>635</v>
      </c>
      <c r="I532" s="457" t="s">
        <v>635</v>
      </c>
      <c r="J532" s="460" t="str">
        <f t="shared" si="23"/>
        <v>[pt]Tonga</v>
      </c>
      <c r="K532" s="460" t="str">
        <f t="shared" si="24"/>
        <v>[gr]Tonga</v>
      </c>
      <c r="L532" s="531" t="s">
        <v>636</v>
      </c>
      <c r="M532" s="461" t="str">
        <f t="shared" si="18"/>
        <v/>
      </c>
    </row>
    <row r="533" spans="1:13" ht="15.75" customHeight="1">
      <c r="A533" s="529" t="s">
        <v>638</v>
      </c>
      <c r="B533" s="480" t="s">
        <v>3001</v>
      </c>
      <c r="C533" s="529" t="s">
        <v>3002</v>
      </c>
      <c r="D533" s="459" t="str">
        <f t="shared" si="17"/>
        <v xml:space="preserve">TTO Trinidad and Tobago </v>
      </c>
      <c r="E533" s="457" t="s">
        <v>3003</v>
      </c>
      <c r="F533" s="460" t="s">
        <v>3004</v>
      </c>
      <c r="G533" s="457" t="s">
        <v>3005</v>
      </c>
      <c r="H533" s="457" t="s">
        <v>3006</v>
      </c>
      <c r="I533" s="457" t="s">
        <v>3007</v>
      </c>
      <c r="J533" s="460" t="str">
        <f t="shared" si="23"/>
        <v>[pt]Trinidad und Tobago</v>
      </c>
      <c r="K533" s="460" t="str">
        <f t="shared" si="24"/>
        <v>[gr]Trinidad und Tobago</v>
      </c>
      <c r="L533" s="531" t="s">
        <v>638</v>
      </c>
      <c r="M533" s="461" t="str">
        <f t="shared" si="18"/>
        <v/>
      </c>
    </row>
    <row r="534" spans="1:13" ht="15.75" customHeight="1">
      <c r="A534" s="529" t="s">
        <v>640</v>
      </c>
      <c r="B534" s="480" t="s">
        <v>3008</v>
      </c>
      <c r="C534" s="529" t="s">
        <v>3009</v>
      </c>
      <c r="D534" s="459" t="str">
        <f t="shared" si="17"/>
        <v xml:space="preserve">TUN Tunisia </v>
      </c>
      <c r="E534" s="457" t="s">
        <v>3010</v>
      </c>
      <c r="F534" s="460" t="s">
        <v>3011</v>
      </c>
      <c r="G534" s="457" t="s">
        <v>3011</v>
      </c>
      <c r="H534" s="457" t="s">
        <v>3012</v>
      </c>
      <c r="I534" s="457" t="s">
        <v>3013</v>
      </c>
      <c r="J534" s="460" t="str">
        <f t="shared" si="23"/>
        <v>[pt]Tunesien</v>
      </c>
      <c r="K534" s="460" t="str">
        <f t="shared" si="24"/>
        <v>[gr]Tunesien</v>
      </c>
      <c r="L534" s="531" t="s">
        <v>640</v>
      </c>
      <c r="M534" s="461" t="str">
        <f t="shared" si="18"/>
        <v/>
      </c>
    </row>
    <row r="535" spans="1:13" ht="15.75" customHeight="1">
      <c r="A535" s="529" t="s">
        <v>642</v>
      </c>
      <c r="B535" s="480" t="s">
        <v>3014</v>
      </c>
      <c r="C535" s="529" t="s">
        <v>3015</v>
      </c>
      <c r="D535" s="459" t="str">
        <f t="shared" si="17"/>
        <v xml:space="preserve">TUR Turkey </v>
      </c>
      <c r="E535" s="457" t="s">
        <v>3016</v>
      </c>
      <c r="F535" s="460" t="s">
        <v>3017</v>
      </c>
      <c r="G535" s="457" t="s">
        <v>3018</v>
      </c>
      <c r="H535" s="457" t="s">
        <v>3019</v>
      </c>
      <c r="I535" s="457" t="s">
        <v>3020</v>
      </c>
      <c r="J535" s="460" t="str">
        <f t="shared" si="23"/>
        <v>[pt]Türkei</v>
      </c>
      <c r="K535" s="460" t="str">
        <f t="shared" si="24"/>
        <v>[gr]Türkei</v>
      </c>
      <c r="L535" s="531" t="s">
        <v>642</v>
      </c>
      <c r="M535" s="461" t="str">
        <f t="shared" si="18"/>
        <v/>
      </c>
    </row>
    <row r="536" spans="1:13" ht="15.75" customHeight="1">
      <c r="A536" s="529" t="s">
        <v>644</v>
      </c>
      <c r="B536" s="480" t="s">
        <v>3021</v>
      </c>
      <c r="C536" s="529" t="s">
        <v>3022</v>
      </c>
      <c r="D536" s="459" t="str">
        <f t="shared" si="17"/>
        <v xml:space="preserve">TUV Tuvalu </v>
      </c>
      <c r="E536" s="457" t="s">
        <v>643</v>
      </c>
      <c r="F536" s="460" t="s">
        <v>3023</v>
      </c>
      <c r="G536" s="457" t="s">
        <v>3023</v>
      </c>
      <c r="H536" s="457" t="s">
        <v>643</v>
      </c>
      <c r="I536" s="457" t="s">
        <v>643</v>
      </c>
      <c r="J536" s="460" t="str">
        <f t="shared" si="23"/>
        <v>[pt]Tuvalu</v>
      </c>
      <c r="K536" s="460" t="str">
        <f t="shared" si="24"/>
        <v>[gr]Tuvalu</v>
      </c>
      <c r="L536" s="531" t="s">
        <v>644</v>
      </c>
      <c r="M536" s="461" t="str">
        <f t="shared" si="18"/>
        <v/>
      </c>
    </row>
    <row r="537" spans="1:13" ht="15.75" customHeight="1">
      <c r="A537" s="529" t="s">
        <v>646</v>
      </c>
      <c r="B537" s="480" t="s">
        <v>3024</v>
      </c>
      <c r="C537" s="529" t="s">
        <v>3025</v>
      </c>
      <c r="D537" s="459" t="str">
        <f t="shared" si="17"/>
        <v xml:space="preserve">TZA Tanzania, United Republic of </v>
      </c>
      <c r="E537" s="457" t="s">
        <v>3026</v>
      </c>
      <c r="F537" s="460" t="s">
        <v>3027</v>
      </c>
      <c r="G537" s="457" t="s">
        <v>3028</v>
      </c>
      <c r="H537" s="457" t="s">
        <v>645</v>
      </c>
      <c r="I537" s="457" t="s">
        <v>3029</v>
      </c>
      <c r="J537" s="460" t="str">
        <f t="shared" si="23"/>
        <v>[pt]Tansania, Vereinigte Republik</v>
      </c>
      <c r="K537" s="460" t="str">
        <f t="shared" si="24"/>
        <v>[gr]Tansania, Vereinigte Republik</v>
      </c>
      <c r="L537" s="531" t="s">
        <v>646</v>
      </c>
      <c r="M537" s="461" t="str">
        <f t="shared" si="18"/>
        <v/>
      </c>
    </row>
    <row r="538" spans="1:13" ht="15.75" customHeight="1">
      <c r="A538" s="529" t="s">
        <v>648</v>
      </c>
      <c r="B538" s="480" t="s">
        <v>3030</v>
      </c>
      <c r="C538" s="529" t="s">
        <v>3031</v>
      </c>
      <c r="D538" s="459" t="str">
        <f t="shared" si="17"/>
        <v xml:space="preserve">UGA Uganda </v>
      </c>
      <c r="E538" s="457" t="s">
        <v>647</v>
      </c>
      <c r="F538" s="460" t="s">
        <v>3032</v>
      </c>
      <c r="G538" s="457" t="s">
        <v>3032</v>
      </c>
      <c r="H538" s="457" t="s">
        <v>647</v>
      </c>
      <c r="I538" s="457" t="s">
        <v>3033</v>
      </c>
      <c r="J538" s="460" t="str">
        <f t="shared" si="23"/>
        <v>[pt]Uganda</v>
      </c>
      <c r="K538" s="460" t="str">
        <f t="shared" si="24"/>
        <v>[gr]Uganda</v>
      </c>
      <c r="L538" s="531" t="s">
        <v>648</v>
      </c>
      <c r="M538" s="461" t="str">
        <f t="shared" si="18"/>
        <v/>
      </c>
    </row>
    <row r="539" spans="1:13" ht="15.75" customHeight="1">
      <c r="A539" s="529" t="s">
        <v>650</v>
      </c>
      <c r="B539" s="480" t="s">
        <v>3034</v>
      </c>
      <c r="C539" s="529" t="s">
        <v>3035</v>
      </c>
      <c r="D539" s="459" t="str">
        <f t="shared" si="17"/>
        <v xml:space="preserve">UKR Ukraine </v>
      </c>
      <c r="E539" s="457" t="s">
        <v>649</v>
      </c>
      <c r="F539" s="460" t="s">
        <v>3036</v>
      </c>
      <c r="G539" s="457" t="s">
        <v>3037</v>
      </c>
      <c r="H539" s="457" t="s">
        <v>3038</v>
      </c>
      <c r="I539" s="457" t="s">
        <v>649</v>
      </c>
      <c r="J539" s="460" t="str">
        <f t="shared" si="23"/>
        <v>[pt]Ukraine</v>
      </c>
      <c r="K539" s="460" t="str">
        <f t="shared" si="24"/>
        <v>[gr]Ukraine</v>
      </c>
      <c r="L539" s="531" t="s">
        <v>650</v>
      </c>
      <c r="M539" s="461" t="str">
        <f t="shared" si="18"/>
        <v/>
      </c>
    </row>
    <row r="540" spans="1:13" ht="15.75" customHeight="1">
      <c r="A540" s="529" t="s">
        <v>652</v>
      </c>
      <c r="B540" s="480" t="s">
        <v>3039</v>
      </c>
      <c r="C540" s="529" t="s">
        <v>3040</v>
      </c>
      <c r="D540" s="459" t="str">
        <f t="shared" si="17"/>
        <v xml:space="preserve">URY Uruguay </v>
      </c>
      <c r="E540" s="457" t="s">
        <v>651</v>
      </c>
      <c r="F540" s="460" t="s">
        <v>3041</v>
      </c>
      <c r="G540" s="457" t="s">
        <v>3041</v>
      </c>
      <c r="H540" s="457" t="s">
        <v>651</v>
      </c>
      <c r="I540" s="457" t="s">
        <v>651</v>
      </c>
      <c r="J540" s="460" t="str">
        <f t="shared" si="23"/>
        <v>[pt]Uruguay</v>
      </c>
      <c r="K540" s="460" t="str">
        <f t="shared" si="24"/>
        <v>[gr]Uruguay</v>
      </c>
      <c r="L540" s="531" t="s">
        <v>652</v>
      </c>
      <c r="M540" s="461" t="str">
        <f t="shared" si="18"/>
        <v/>
      </c>
    </row>
    <row r="541" spans="1:13" ht="15.75" customHeight="1">
      <c r="A541" s="529" t="s">
        <v>654</v>
      </c>
      <c r="B541" s="480" t="s">
        <v>3042</v>
      </c>
      <c r="C541" s="529" t="s">
        <v>3043</v>
      </c>
      <c r="D541" s="459" t="str">
        <f t="shared" si="17"/>
        <v xml:space="preserve">USA United States </v>
      </c>
      <c r="E541" s="457" t="s">
        <v>3044</v>
      </c>
      <c r="F541" s="460" t="s">
        <v>3045</v>
      </c>
      <c r="G541" s="457" t="s">
        <v>3046</v>
      </c>
      <c r="H541" s="457" t="s">
        <v>3047</v>
      </c>
      <c r="I541" s="457" t="s">
        <v>3048</v>
      </c>
      <c r="J541" s="460" t="str">
        <f t="shared" si="23"/>
        <v>[pt]Vereinigte Staaten von Amerika</v>
      </c>
      <c r="K541" s="460" t="str">
        <f t="shared" si="24"/>
        <v>[gr]Vereinigte Staaten von Amerika</v>
      </c>
      <c r="L541" s="531" t="s">
        <v>654</v>
      </c>
      <c r="M541" s="461" t="str">
        <f t="shared" si="18"/>
        <v/>
      </c>
    </row>
    <row r="542" spans="1:13" ht="15.75" customHeight="1">
      <c r="A542" s="529" t="s">
        <v>656</v>
      </c>
      <c r="B542" s="480" t="s">
        <v>3049</v>
      </c>
      <c r="C542" s="529" t="s">
        <v>3050</v>
      </c>
      <c r="D542" s="459" t="str">
        <f t="shared" si="17"/>
        <v xml:space="preserve">UZB Uzbekistan </v>
      </c>
      <c r="E542" s="457" t="s">
        <v>3051</v>
      </c>
      <c r="F542" s="460" t="s">
        <v>3052</v>
      </c>
      <c r="G542" s="457" t="s">
        <v>3052</v>
      </c>
      <c r="H542" s="457" t="s">
        <v>3053</v>
      </c>
      <c r="I542" s="457" t="s">
        <v>3054</v>
      </c>
      <c r="J542" s="460" t="str">
        <f t="shared" si="23"/>
        <v>[pt]Usbekistan</v>
      </c>
      <c r="K542" s="460" t="str">
        <f t="shared" si="24"/>
        <v>[gr]Usbekistan</v>
      </c>
      <c r="L542" s="531" t="s">
        <v>656</v>
      </c>
      <c r="M542" s="461" t="str">
        <f t="shared" si="18"/>
        <v/>
      </c>
    </row>
    <row r="543" spans="1:13" ht="15.75" customHeight="1">
      <c r="A543" s="529" t="s">
        <v>658</v>
      </c>
      <c r="B543" s="480" t="s">
        <v>3055</v>
      </c>
      <c r="C543" s="529" t="s">
        <v>3056</v>
      </c>
      <c r="D543" s="459" t="str">
        <f t="shared" si="17"/>
        <v xml:space="preserve">VCT Saint Vincent and the Grenadines </v>
      </c>
      <c r="E543" s="457" t="s">
        <v>3057</v>
      </c>
      <c r="F543" s="460" t="s">
        <v>3058</v>
      </c>
      <c r="G543" s="457" t="s">
        <v>3059</v>
      </c>
      <c r="H543" s="457" t="s">
        <v>3060</v>
      </c>
      <c r="I543" s="457" t="s">
        <v>3061</v>
      </c>
      <c r="J543" s="460" t="str">
        <f t="shared" si="23"/>
        <v>[pt]St. Vincent und die Grenadinen</v>
      </c>
      <c r="K543" s="460" t="str">
        <f t="shared" si="24"/>
        <v>[gr]St. Vincent und die Grenadinen</v>
      </c>
      <c r="L543" s="531" t="s">
        <v>658</v>
      </c>
      <c r="M543" s="461" t="str">
        <f t="shared" si="18"/>
        <v/>
      </c>
    </row>
    <row r="544" spans="1:13" ht="15.75" customHeight="1">
      <c r="A544" s="529" t="s">
        <v>660</v>
      </c>
      <c r="B544" s="480" t="s">
        <v>3062</v>
      </c>
      <c r="C544" s="529" t="s">
        <v>3063</v>
      </c>
      <c r="D544" s="459" t="str">
        <f t="shared" si="17"/>
        <v xml:space="preserve">VEN Venezuela, Bolivarian Republic of </v>
      </c>
      <c r="E544" s="457" t="s">
        <v>3064</v>
      </c>
      <c r="F544" s="460" t="s">
        <v>3065</v>
      </c>
      <c r="G544" s="457" t="s">
        <v>3066</v>
      </c>
      <c r="H544" s="457" t="s">
        <v>3064</v>
      </c>
      <c r="I544" s="457" t="s">
        <v>3067</v>
      </c>
      <c r="J544" s="460" t="str">
        <f t="shared" si="23"/>
        <v>[pt]Venezuela</v>
      </c>
      <c r="K544" s="460" t="str">
        <f t="shared" si="24"/>
        <v>[gr]Venezuela</v>
      </c>
      <c r="L544" s="531" t="s">
        <v>660</v>
      </c>
      <c r="M544" s="461" t="str">
        <f t="shared" si="18"/>
        <v/>
      </c>
    </row>
    <row r="545" spans="1:13" ht="15.75" customHeight="1">
      <c r="A545" s="529" t="s">
        <v>662</v>
      </c>
      <c r="B545" s="480" t="s">
        <v>3068</v>
      </c>
      <c r="C545" s="529" t="s">
        <v>3069</v>
      </c>
      <c r="D545" s="459" t="str">
        <f t="shared" si="17"/>
        <v xml:space="preserve">VGB Virgin Islands, British </v>
      </c>
      <c r="E545" s="457" t="s">
        <v>3070</v>
      </c>
      <c r="F545" s="460" t="s">
        <v>3071</v>
      </c>
      <c r="G545" s="457" t="s">
        <v>3072</v>
      </c>
      <c r="H545" s="457" t="s">
        <v>3073</v>
      </c>
      <c r="I545" s="457" t="s">
        <v>3074</v>
      </c>
      <c r="J545" s="460" t="str">
        <f t="shared" si="23"/>
        <v>[pt]Britische Jungferninseln</v>
      </c>
      <c r="K545" s="460" t="str">
        <f t="shared" si="24"/>
        <v>[gr]Britische Jungferninseln</v>
      </c>
      <c r="L545" s="531" t="s">
        <v>662</v>
      </c>
      <c r="M545" s="461" t="str">
        <f t="shared" si="18"/>
        <v/>
      </c>
    </row>
    <row r="546" spans="1:13" ht="15.75" customHeight="1">
      <c r="A546" s="529" t="s">
        <v>664</v>
      </c>
      <c r="B546" s="480" t="s">
        <v>3075</v>
      </c>
      <c r="C546" s="529" t="s">
        <v>3076</v>
      </c>
      <c r="D546" s="459" t="str">
        <f t="shared" si="17"/>
        <v xml:space="preserve">VIR Virgin Islands, U.S. </v>
      </c>
      <c r="E546" s="457" t="s">
        <v>3077</v>
      </c>
      <c r="F546" s="460" t="s">
        <v>3078</v>
      </c>
      <c r="G546" s="457" t="s">
        <v>3079</v>
      </c>
      <c r="H546" s="457" t="s">
        <v>3080</v>
      </c>
      <c r="I546" s="457" t="s">
        <v>3081</v>
      </c>
      <c r="J546" s="460" t="str">
        <f t="shared" si="23"/>
        <v>[pt]Amerikanische Jungferninseln</v>
      </c>
      <c r="K546" s="460" t="str">
        <f t="shared" si="24"/>
        <v>[gr]Amerikanische Jungferninseln</v>
      </c>
      <c r="L546" s="531" t="s">
        <v>664</v>
      </c>
      <c r="M546" s="461" t="str">
        <f t="shared" si="18"/>
        <v/>
      </c>
    </row>
    <row r="547" spans="1:13" ht="15.75" customHeight="1">
      <c r="A547" s="529" t="s">
        <v>666</v>
      </c>
      <c r="B547" s="480" t="s">
        <v>3082</v>
      </c>
      <c r="C547" s="529" t="s">
        <v>3083</v>
      </c>
      <c r="D547" s="459" t="str">
        <f t="shared" si="17"/>
        <v xml:space="preserve">VNM Viet Nam </v>
      </c>
      <c r="E547" s="457" t="s">
        <v>665</v>
      </c>
      <c r="F547" s="460" t="s">
        <v>3084</v>
      </c>
      <c r="G547" s="457" t="s">
        <v>3085</v>
      </c>
      <c r="H547" s="457" t="s">
        <v>665</v>
      </c>
      <c r="I547" s="457" t="s">
        <v>665</v>
      </c>
      <c r="J547" s="460" t="str">
        <f t="shared" si="23"/>
        <v>[pt]Vietnam</v>
      </c>
      <c r="K547" s="460" t="str">
        <f t="shared" si="24"/>
        <v>[gr]Vietnam</v>
      </c>
      <c r="L547" s="531" t="s">
        <v>666</v>
      </c>
      <c r="M547" s="461" t="str">
        <f t="shared" si="18"/>
        <v/>
      </c>
    </row>
    <row r="548" spans="1:13" ht="15.75" customHeight="1">
      <c r="A548" s="529" t="s">
        <v>668</v>
      </c>
      <c r="B548" s="480" t="s">
        <v>3086</v>
      </c>
      <c r="C548" s="529" t="s">
        <v>3087</v>
      </c>
      <c r="D548" s="459" t="str">
        <f t="shared" si="17"/>
        <v xml:space="preserve">VUT Vanuatu </v>
      </c>
      <c r="E548" s="457" t="s">
        <v>667</v>
      </c>
      <c r="F548" s="460" t="s">
        <v>3088</v>
      </c>
      <c r="G548" s="457" t="s">
        <v>3088</v>
      </c>
      <c r="H548" s="457" t="s">
        <v>667</v>
      </c>
      <c r="I548" s="457" t="s">
        <v>667</v>
      </c>
      <c r="J548" s="460" t="str">
        <f t="shared" si="23"/>
        <v>[pt]Vanuatu</v>
      </c>
      <c r="K548" s="460" t="str">
        <f t="shared" si="24"/>
        <v>[gr]Vanuatu</v>
      </c>
      <c r="L548" s="531" t="s">
        <v>668</v>
      </c>
      <c r="M548" s="461" t="str">
        <f t="shared" si="18"/>
        <v/>
      </c>
    </row>
    <row r="549" spans="1:13" ht="15.75" customHeight="1">
      <c r="A549" s="529" t="s">
        <v>670</v>
      </c>
      <c r="B549" s="480" t="s">
        <v>3089</v>
      </c>
      <c r="C549" s="529" t="s">
        <v>3090</v>
      </c>
      <c r="D549" s="459" t="str">
        <f t="shared" si="17"/>
        <v xml:space="preserve">WSM Samoa </v>
      </c>
      <c r="E549" s="457" t="s">
        <v>669</v>
      </c>
      <c r="F549" s="460" t="s">
        <v>3091</v>
      </c>
      <c r="G549" s="457" t="s">
        <v>3091</v>
      </c>
      <c r="H549" s="457" t="s">
        <v>669</v>
      </c>
      <c r="I549" s="457" t="s">
        <v>669</v>
      </c>
      <c r="J549" s="460" t="str">
        <f t="shared" si="23"/>
        <v>[pt]Samoa</v>
      </c>
      <c r="K549" s="460" t="str">
        <f t="shared" si="24"/>
        <v>[gr]Samoa</v>
      </c>
      <c r="L549" s="531" t="s">
        <v>670</v>
      </c>
      <c r="M549" s="461" t="str">
        <f t="shared" si="18"/>
        <v/>
      </c>
    </row>
    <row r="550" spans="1:13" ht="15.75" customHeight="1">
      <c r="A550" s="480" t="s">
        <v>672</v>
      </c>
      <c r="B550" s="480"/>
      <c r="C550" s="480" t="s">
        <v>3092</v>
      </c>
      <c r="D550" s="459" t="str">
        <f t="shared" si="17"/>
        <v>XKX Kosovo</v>
      </c>
      <c r="E550" s="457" t="s">
        <v>671</v>
      </c>
      <c r="F550" s="460" t="s">
        <v>671</v>
      </c>
      <c r="G550" s="457" t="s">
        <v>671</v>
      </c>
      <c r="H550" s="457" t="s">
        <v>671</v>
      </c>
      <c r="I550" s="457" t="s">
        <v>671</v>
      </c>
      <c r="J550" s="460" t="str">
        <f t="shared" si="23"/>
        <v>[pt]Kosovo</v>
      </c>
      <c r="K550" s="460" t="str">
        <f t="shared" si="24"/>
        <v>[gr]Kosovo</v>
      </c>
      <c r="L550" s="531" t="s">
        <v>672</v>
      </c>
      <c r="M550" s="461" t="str">
        <f t="shared" si="18"/>
        <v/>
      </c>
    </row>
    <row r="551" spans="1:13" ht="15.75" customHeight="1">
      <c r="A551" s="529" t="s">
        <v>674</v>
      </c>
      <c r="B551" s="480" t="s">
        <v>3093</v>
      </c>
      <c r="C551" s="529" t="s">
        <v>3094</v>
      </c>
      <c r="D551" s="459" t="str">
        <f t="shared" si="17"/>
        <v xml:space="preserve">YEM Yemen </v>
      </c>
      <c r="E551" s="457" t="s">
        <v>3095</v>
      </c>
      <c r="F551" s="460" t="s">
        <v>3096</v>
      </c>
      <c r="G551" s="457" t="s">
        <v>3096</v>
      </c>
      <c r="H551" s="457" t="s">
        <v>3097</v>
      </c>
      <c r="I551" s="457" t="s">
        <v>3097</v>
      </c>
      <c r="J551" s="460" t="str">
        <f t="shared" si="23"/>
        <v>[pt]Jemen</v>
      </c>
      <c r="K551" s="460" t="str">
        <f t="shared" si="24"/>
        <v>[gr]Jemen</v>
      </c>
      <c r="L551" s="531" t="s">
        <v>674</v>
      </c>
      <c r="M551" s="461" t="str">
        <f t="shared" si="18"/>
        <v/>
      </c>
    </row>
    <row r="552" spans="1:13" ht="15.75" customHeight="1">
      <c r="A552" s="529" t="s">
        <v>676</v>
      </c>
      <c r="B552" s="480" t="s">
        <v>3098</v>
      </c>
      <c r="C552" s="529" t="s">
        <v>3099</v>
      </c>
      <c r="D552" s="459" t="str">
        <f t="shared" si="17"/>
        <v xml:space="preserve">ZAF South Africa </v>
      </c>
      <c r="E552" s="457" t="s">
        <v>3100</v>
      </c>
      <c r="F552" s="460" t="s">
        <v>3101</v>
      </c>
      <c r="G552" s="457" t="s">
        <v>3102</v>
      </c>
      <c r="H552" s="457" t="s">
        <v>3103</v>
      </c>
      <c r="I552" s="457" t="s">
        <v>3104</v>
      </c>
      <c r="J552" s="460" t="str">
        <f t="shared" si="23"/>
        <v>[pt]Südafrika</v>
      </c>
      <c r="K552" s="460" t="str">
        <f t="shared" si="24"/>
        <v>[gr]Südafrika</v>
      </c>
      <c r="L552" s="531" t="s">
        <v>676</v>
      </c>
      <c r="M552" s="461" t="str">
        <f t="shared" si="18"/>
        <v/>
      </c>
    </row>
    <row r="553" spans="1:13" ht="15.75" customHeight="1">
      <c r="A553" s="529" t="s">
        <v>678</v>
      </c>
      <c r="B553" s="480" t="s">
        <v>3105</v>
      </c>
      <c r="C553" s="529" t="s">
        <v>3106</v>
      </c>
      <c r="D553" s="459" t="str">
        <f t="shared" si="17"/>
        <v xml:space="preserve">ZMB Zambia </v>
      </c>
      <c r="E553" s="457" t="s">
        <v>3107</v>
      </c>
      <c r="F553" s="460" t="s">
        <v>3108</v>
      </c>
      <c r="G553" s="457" t="s">
        <v>3108</v>
      </c>
      <c r="H553" s="457" t="s">
        <v>677</v>
      </c>
      <c r="I553" s="457" t="s">
        <v>3109</v>
      </c>
      <c r="J553" s="460" t="str">
        <f t="shared" ref="J553:J560" si="25">"[pt]"&amp;E553</f>
        <v>[pt]Sambia</v>
      </c>
      <c r="K553" s="460" t="str">
        <f t="shared" ref="K553:K560" si="26">"[gr]"&amp;E553</f>
        <v>[gr]Sambia</v>
      </c>
      <c r="L553" s="531" t="s">
        <v>678</v>
      </c>
      <c r="M553" s="461" t="str">
        <f t="shared" si="18"/>
        <v/>
      </c>
    </row>
    <row r="554" spans="1:13" ht="15.75" customHeight="1">
      <c r="A554" s="529" t="s">
        <v>680</v>
      </c>
      <c r="B554" s="480" t="s">
        <v>3110</v>
      </c>
      <c r="C554" s="529" t="s">
        <v>3111</v>
      </c>
      <c r="D554" s="459" t="str">
        <f t="shared" si="17"/>
        <v xml:space="preserve">ZWE Zimbabwe </v>
      </c>
      <c r="E554" s="457" t="s">
        <v>3112</v>
      </c>
      <c r="F554" s="460" t="s">
        <v>3113</v>
      </c>
      <c r="G554" s="457" t="s">
        <v>3113</v>
      </c>
      <c r="H554" s="457" t="s">
        <v>3114</v>
      </c>
      <c r="I554" s="457" t="s">
        <v>679</v>
      </c>
      <c r="J554" s="460" t="str">
        <f t="shared" si="25"/>
        <v>[pt]Simbabwe</v>
      </c>
      <c r="K554" s="460" t="str">
        <f t="shared" si="26"/>
        <v>[gr]Simbabwe</v>
      </c>
      <c r="L554" s="531" t="s">
        <v>680</v>
      </c>
      <c r="M554" s="461" t="str">
        <f t="shared" si="18"/>
        <v/>
      </c>
    </row>
    <row r="555" spans="1:13" ht="14.1" customHeight="1">
      <c r="D555" s="459" t="str">
        <f t="shared" ref="D555:D561" si="27">HLOOKUP($C$1,$E$1:$X$4910,ROW(D555))</f>
        <v>Average Africa</v>
      </c>
      <c r="E555" s="457" t="s">
        <v>3115</v>
      </c>
      <c r="F555" s="460" t="s">
        <v>3116</v>
      </c>
      <c r="G555" s="457" t="s">
        <v>681</v>
      </c>
      <c r="H555" s="457" t="s">
        <v>3117</v>
      </c>
      <c r="J555" s="457" t="str">
        <f t="shared" si="25"/>
        <v>[pt]Durchschnitt Afrika</v>
      </c>
      <c r="K555" s="457" t="str">
        <f t="shared" si="26"/>
        <v>[gr]Durchschnitt Afrika</v>
      </c>
      <c r="L555" s="531" t="s">
        <v>681</v>
      </c>
      <c r="M555" s="461" t="str">
        <f t="shared" si="18"/>
        <v>nix</v>
      </c>
    </row>
    <row r="556" spans="1:13" ht="14.1" customHeight="1">
      <c r="D556" s="459" t="str">
        <f t="shared" si="27"/>
        <v>Average Americas</v>
      </c>
      <c r="E556" s="457" t="s">
        <v>3118</v>
      </c>
      <c r="F556" s="460" t="s">
        <v>3119</v>
      </c>
      <c r="G556" s="457" t="s">
        <v>682</v>
      </c>
      <c r="H556" s="457" t="s">
        <v>3120</v>
      </c>
      <c r="J556" s="457" t="str">
        <f t="shared" si="25"/>
        <v>[pt]Durchschnitt Amerika</v>
      </c>
      <c r="K556" s="457" t="str">
        <f t="shared" si="26"/>
        <v>[gr]Durchschnitt Amerika</v>
      </c>
      <c r="L556" s="531" t="s">
        <v>682</v>
      </c>
      <c r="M556" s="461" t="str">
        <f t="shared" si="18"/>
        <v>nix</v>
      </c>
    </row>
    <row r="557" spans="1:13" ht="14.1" customHeight="1">
      <c r="D557" s="459" t="str">
        <f t="shared" si="27"/>
        <v>Average Asia</v>
      </c>
      <c r="E557" s="457" t="s">
        <v>3121</v>
      </c>
      <c r="F557" s="460" t="s">
        <v>3122</v>
      </c>
      <c r="G557" s="457" t="s">
        <v>683</v>
      </c>
      <c r="H557" s="457" t="s">
        <v>3123</v>
      </c>
      <c r="J557" s="457" t="str">
        <f t="shared" si="25"/>
        <v>[pt]Durchschnitt Asien</v>
      </c>
      <c r="K557" s="457" t="str">
        <f t="shared" si="26"/>
        <v>[gr]Durchschnitt Asien</v>
      </c>
      <c r="L557" s="531" t="s">
        <v>683</v>
      </c>
      <c r="M557" s="461" t="str">
        <f t="shared" si="18"/>
        <v>nix</v>
      </c>
    </row>
    <row r="558" spans="1:13" ht="14.1" customHeight="1">
      <c r="D558" s="459" t="str">
        <f t="shared" si="27"/>
        <v>Average Europe</v>
      </c>
      <c r="E558" s="457" t="s">
        <v>3124</v>
      </c>
      <c r="F558" s="460" t="s">
        <v>3125</v>
      </c>
      <c r="G558" s="457" t="s">
        <v>684</v>
      </c>
      <c r="H558" s="457" t="s">
        <v>3126</v>
      </c>
      <c r="J558" s="457" t="str">
        <f t="shared" si="25"/>
        <v>[pt]Durchschnitt Europa</v>
      </c>
      <c r="K558" s="457" t="str">
        <f t="shared" si="26"/>
        <v>[gr]Durchschnitt Europa</v>
      </c>
      <c r="L558" s="531" t="s">
        <v>684</v>
      </c>
      <c r="M558" s="461" t="str">
        <f t="shared" si="18"/>
        <v>nix</v>
      </c>
    </row>
    <row r="559" spans="1:13" ht="14.1" customHeight="1">
      <c r="D559" s="459" t="str">
        <f t="shared" si="27"/>
        <v>Average Oceania</v>
      </c>
      <c r="E559" s="457" t="s">
        <v>3127</v>
      </c>
      <c r="F559" s="460" t="s">
        <v>3128</v>
      </c>
      <c r="G559" s="457" t="s">
        <v>685</v>
      </c>
      <c r="H559" s="457" t="s">
        <v>3129</v>
      </c>
      <c r="J559" s="457" t="str">
        <f t="shared" si="25"/>
        <v>[pt]Durchschnitt Ozeanien</v>
      </c>
      <c r="K559" s="457" t="str">
        <f t="shared" si="26"/>
        <v>[gr]Durchschnitt Ozeanien</v>
      </c>
      <c r="L559" s="531" t="s">
        <v>685</v>
      </c>
      <c r="M559" s="461" t="str">
        <f t="shared" si="18"/>
        <v>nix</v>
      </c>
    </row>
    <row r="560" spans="1:13" ht="14.1" customHeight="1">
      <c r="D560" s="459">
        <f t="shared" si="27"/>
        <v>0</v>
      </c>
      <c r="E560" s="457" t="s">
        <v>3130</v>
      </c>
      <c r="F560" s="460" t="s">
        <v>3131</v>
      </c>
      <c r="H560" s="457" t="s">
        <v>3132</v>
      </c>
      <c r="J560" s="457" t="str">
        <f t="shared" si="25"/>
        <v>[pt]Durchschnitt Welt</v>
      </c>
      <c r="K560" s="457" t="str">
        <f t="shared" si="26"/>
        <v>[gr]Durchschnitt Welt</v>
      </c>
      <c r="L560" s="533" t="s">
        <v>686</v>
      </c>
      <c r="M560" s="461" t="str">
        <f t="shared" si="18"/>
        <v>nix</v>
      </c>
    </row>
    <row r="561" spans="4:13" ht="14.1" customHeight="1">
      <c r="D561" s="459">
        <f t="shared" si="27"/>
        <v>0</v>
      </c>
      <c r="E561" s="457" t="s">
        <v>1814</v>
      </c>
      <c r="F561" s="460" t="s">
        <v>3133</v>
      </c>
      <c r="H561" s="457" t="s">
        <v>3134</v>
      </c>
      <c r="M561" s="461" t="str">
        <f t="shared" si="18"/>
        <v/>
      </c>
    </row>
    <row r="65535" ht="12.75" customHeight="1"/>
    <row r="65536" ht="12.75" customHeight="1"/>
  </sheetData>
  <sheetProtection algorithmName="SHA-512" hashValue="8/7CniSdBwy2MwaxGes/lLYNqWxjjj8swaIGN6iRu7qxROqxsko0HmJPfPFM5REJ2SXK8tVL4E15u2h8cKMEmA==" saltValue="3Y5O4w5xSnVRofw3yef98g==" spinCount="100000" sheet="1" selectLockedCells="1" selectUnlockedCells="1"/>
  <hyperlinks>
    <hyperlink ref="F55" r:id="rId1" xr:uid="{00000000-0004-0000-0D00-000000000000}"/>
    <hyperlink ref="H55" r:id="rId2" xr:uid="{00000000-0004-0000-0D00-000001000000}"/>
    <hyperlink ref="F56" r:id="rId3" xr:uid="{00000000-0004-0000-0D00-000002000000}"/>
    <hyperlink ref="H56" r:id="rId4" xr:uid="{00000000-0004-0000-0D00-000003000000}"/>
    <hyperlink ref="G57" r:id="rId5" xr:uid="{00000000-0004-0000-0D00-000004000000}"/>
    <hyperlink ref="H57" r:id="rId6" xr:uid="{00000000-0004-0000-0D00-000005000000}"/>
    <hyperlink ref="E58" r:id="rId7" xr:uid="{00000000-0004-0000-0D00-000006000000}"/>
    <hyperlink ref="G58" r:id="rId8" xr:uid="{00000000-0004-0000-0D00-000007000000}"/>
    <hyperlink ref="H58" r:id="rId9" xr:uid="{00000000-0004-0000-0D00-000008000000}"/>
  </hyperlinks>
  <pageMargins left="0.78749999999999998" right="0.78749999999999998" top="1.0527777777777778" bottom="1.0527777777777778" header="0.78749999999999998" footer="0.78749999999999998"/>
  <pageSetup paperSize="9" firstPageNumber="0" orientation="portrait" horizontalDpi="300" verticalDpi="300" r:id="rId10"/>
  <headerFooter alignWithMargins="0">
    <oddHeader>&amp;C&amp;"Times New Roman,Regular"&amp;12&amp;A</oddHeader>
    <oddFooter>&amp;C&amp;"Times New Roman,Regular"&amp;12Seite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C25"/>
  <sheetViews>
    <sheetView showGridLines="0" zoomScale="75" zoomScaleNormal="75" workbookViewId="0">
      <selection activeCell="H1" sqref="H1"/>
    </sheetView>
  </sheetViews>
  <sheetFormatPr baseColWidth="10" defaultColWidth="10.7109375" defaultRowHeight="12.75" customHeight="1"/>
  <cols>
    <col min="1" max="1" width="2.7109375" style="11" customWidth="1"/>
    <col min="2" max="2" width="29.28515625" style="11" customWidth="1"/>
    <col min="3" max="3" width="54.85546875" style="12" customWidth="1"/>
    <col min="4" max="16384" width="10.7109375" style="11"/>
  </cols>
  <sheetData>
    <row r="1" spans="1:3" ht="12.75" customHeight="1">
      <c r="A1" s="13"/>
      <c r="B1" s="14"/>
      <c r="C1" s="15"/>
    </row>
    <row r="2" spans="1:3" ht="12.75" customHeight="1">
      <c r="A2" s="13"/>
      <c r="B2" s="553" t="str">
        <f>'12.lan'!D91&amp;" - "&amp;'0. Intro'!B3&amp;" "&amp;'0. Intro'!C3</f>
        <v>Common Good Balance Calculator - Version 5.02</v>
      </c>
      <c r="C2" s="553"/>
    </row>
    <row r="3" spans="1:3" ht="18" customHeight="1">
      <c r="A3" s="13"/>
      <c r="B3" s="554" t="str">
        <f>'12.lan'!D62</f>
        <v>GENERAL INFORMATION ABOUT THE COMPANY</v>
      </c>
      <c r="C3" s="554"/>
    </row>
    <row r="4" spans="1:3" ht="22.5" customHeight="1">
      <c r="A4" s="13"/>
      <c r="B4" s="17" t="str">
        <f>'12.lan'!D63</f>
        <v>Please complete all fields.</v>
      </c>
      <c r="C4" s="18"/>
    </row>
    <row r="5" spans="1:3" ht="12.75" customHeight="1">
      <c r="A5" s="13"/>
      <c r="B5" s="14"/>
      <c r="C5" s="15"/>
    </row>
    <row r="6" spans="1:3" ht="19.5" customHeight="1">
      <c r="A6" s="13"/>
      <c r="B6" s="19" t="str">
        <f>'12.lan'!D64</f>
        <v>Name of Company / Organisation:</v>
      </c>
      <c r="C6" s="20"/>
    </row>
    <row r="7" spans="1:3" ht="19.5" customHeight="1">
      <c r="A7" s="13"/>
      <c r="B7" s="21" t="str">
        <f>'12.lan'!D65</f>
        <v>Address:</v>
      </c>
      <c r="C7" s="20"/>
    </row>
    <row r="8" spans="1:3" ht="19.5" customHeight="1">
      <c r="A8" s="13"/>
      <c r="B8" s="21" t="str">
        <f>'12.lan'!D66</f>
        <v>Country:</v>
      </c>
      <c r="C8" s="20"/>
    </row>
    <row r="9" spans="1:3" ht="19.5" customHeight="1">
      <c r="A9" s="13"/>
      <c r="B9" s="21" t="str">
        <f>'12.lan'!D67</f>
        <v>Industry sector:</v>
      </c>
      <c r="C9" s="20"/>
    </row>
    <row r="10" spans="1:3" ht="19.5" customHeight="1">
      <c r="A10" s="13"/>
      <c r="B10" s="21" t="str">
        <f>'12.lan'!D68</f>
        <v>Website:</v>
      </c>
      <c r="C10" s="447"/>
    </row>
    <row r="11" spans="1:3" ht="9.75" customHeight="1">
      <c r="A11" s="13"/>
      <c r="B11" s="22"/>
      <c r="C11" s="23"/>
    </row>
    <row r="12" spans="1:3" ht="19.5" customHeight="1">
      <c r="A12" s="13"/>
      <c r="B12" s="21" t="str">
        <f>'12.lan'!D83</f>
        <v>Period under review</v>
      </c>
      <c r="C12" s="20"/>
    </row>
    <row r="13" spans="1:3" ht="9.75" customHeight="1">
      <c r="A13" s="13"/>
      <c r="B13" s="24"/>
      <c r="C13" s="25"/>
    </row>
    <row r="14" spans="1:3" ht="19.5" customHeight="1">
      <c r="A14" s="13"/>
      <c r="B14" s="19" t="str">
        <f>'12.lan'!D73</f>
        <v>Document created by:</v>
      </c>
      <c r="C14" s="20"/>
    </row>
    <row r="15" spans="1:3" ht="19.5" customHeight="1">
      <c r="A15" s="13"/>
      <c r="B15" s="21" t="str">
        <f>'12.lan'!D74</f>
        <v>Email address:</v>
      </c>
      <c r="C15" s="20"/>
    </row>
    <row r="16" spans="1:3" ht="19.5" customHeight="1">
      <c r="A16" s="13"/>
      <c r="B16" s="21" t="str">
        <f>'12.lan'!D75</f>
        <v>Phone number:</v>
      </c>
      <c r="C16" s="20"/>
    </row>
    <row r="17" spans="1:3" ht="9.75" customHeight="1">
      <c r="A17" s="13"/>
      <c r="B17" s="24"/>
      <c r="C17" s="26"/>
    </row>
    <row r="18" spans="1:3" ht="19.5" customHeight="1">
      <c r="A18" s="13"/>
      <c r="B18" s="19" t="str">
        <f>'12.lan'!D76</f>
        <v>Consultant:</v>
      </c>
      <c r="C18" s="20"/>
    </row>
    <row r="19" spans="1:3" ht="19.5" customHeight="1">
      <c r="A19" s="13"/>
      <c r="B19" s="21" t="str">
        <f>'12.lan'!D74</f>
        <v>Email address:</v>
      </c>
      <c r="C19" s="20"/>
    </row>
    <row r="20" spans="1:3" ht="19.5" customHeight="1">
      <c r="A20" s="13"/>
      <c r="B20" s="21" t="str">
        <f>'12.lan'!D75</f>
        <v>Phone number:</v>
      </c>
      <c r="C20" s="20"/>
    </row>
    <row r="21" spans="1:3" ht="9.75" customHeight="1">
      <c r="A21" s="13"/>
      <c r="B21" s="24"/>
      <c r="C21" s="26"/>
    </row>
    <row r="22" spans="1:3" ht="64.5" customHeight="1">
      <c r="A22" s="13"/>
      <c r="B22" s="27" t="str">
        <f>'12.lan'!D79</f>
        <v>Short description of Company / Organisation</v>
      </c>
      <c r="C22" s="20"/>
    </row>
    <row r="23" spans="1:3" ht="9.75" customHeight="1">
      <c r="A23" s="13"/>
      <c r="B23" s="28"/>
      <c r="C23" s="29"/>
    </row>
    <row r="24" spans="1:3" ht="64.5" customHeight="1">
      <c r="B24" s="30" t="str">
        <f>'12.lan'!D80</f>
        <v>Additional comments:</v>
      </c>
      <c r="C24" s="20"/>
    </row>
    <row r="25" spans="1:3" ht="120.75" customHeight="1">
      <c r="A25" s="13"/>
      <c r="B25" s="13"/>
      <c r="C25" s="15"/>
    </row>
  </sheetData>
  <sheetProtection password="F532" sheet="1"/>
  <mergeCells count="2">
    <mergeCell ref="B2:C2"/>
    <mergeCell ref="B3:C3"/>
  </mergeCells>
  <pageMargins left="0.55972222222222223" right="0.7" top="0.6" bottom="0.78749999999999998" header="0.51180555555555551" footer="0.51180555555555551"/>
  <pageSetup paperSize="9"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M48"/>
  <sheetViews>
    <sheetView showGridLines="0" topLeftCell="A26" zoomScale="75" zoomScaleNormal="75" workbookViewId="0">
      <selection activeCell="D39" sqref="D39"/>
    </sheetView>
  </sheetViews>
  <sheetFormatPr baseColWidth="10" defaultColWidth="10.7109375" defaultRowHeight="12.75" customHeight="1"/>
  <cols>
    <col min="1" max="1" width="2.7109375" style="1" customWidth="1"/>
    <col min="2" max="2" width="58.28515625" style="1" customWidth="1"/>
    <col min="3" max="3" width="41" style="31" customWidth="1"/>
    <col min="4" max="4" width="25" style="1" customWidth="1"/>
    <col min="5" max="5" width="29.28515625" style="1" customWidth="1"/>
    <col min="6" max="6" width="19.28515625" style="1" customWidth="1"/>
    <col min="7" max="12" width="10.7109375" style="1"/>
    <col min="13" max="13" width="0" style="1" hidden="1" customWidth="1"/>
    <col min="14" max="16384" width="10.7109375" style="1"/>
  </cols>
  <sheetData>
    <row r="1" spans="1:13" ht="12.75" customHeight="1">
      <c r="A1" s="2"/>
      <c r="B1" s="32"/>
      <c r="C1" s="33"/>
    </row>
    <row r="2" spans="1:13" ht="12.75" customHeight="1">
      <c r="A2" s="2"/>
      <c r="B2" s="538" t="str">
        <f>'12.lan'!D91&amp;" - "&amp;'0. Intro'!B3&amp;" "&amp;'0. Intro'!C3</f>
        <v>Common Good Balance Calculator - Version 5.02</v>
      </c>
      <c r="C2" s="538"/>
      <c r="M2" s="1" t="str">
        <f>'12.lan'!D52</f>
        <v>yes</v>
      </c>
    </row>
    <row r="3" spans="1:13" ht="18" customHeight="1">
      <c r="A3" s="2"/>
      <c r="B3" s="555" t="str">
        <f>'12.lan'!D194</f>
        <v>Company details</v>
      </c>
      <c r="C3" s="555"/>
      <c r="M3" s="1" t="str">
        <f>'12.lan'!D53</f>
        <v>no</v>
      </c>
    </row>
    <row r="4" spans="1:13" ht="73.5" customHeight="1">
      <c r="A4" s="2"/>
      <c r="B4" s="556" t="str">
        <f>'12.lan'!D195</f>
        <v>Fill in the highlighted fields below. Where detailed information is not available, please enter estimates, otherwise the calculation will not be accurate</v>
      </c>
      <c r="C4" s="556"/>
    </row>
    <row r="5" spans="1:13" ht="12.75" customHeight="1">
      <c r="A5" s="2"/>
      <c r="B5" s="32"/>
      <c r="C5" s="33"/>
    </row>
    <row r="6" spans="1:13" ht="19.5" customHeight="1">
      <c r="A6" s="2"/>
      <c r="B6" s="34" t="str">
        <f>'12.lan'!B108</f>
        <v>A: Suppliers</v>
      </c>
      <c r="C6" s="35"/>
      <c r="D6" s="35"/>
      <c r="E6" s="35"/>
      <c r="F6" s="35"/>
    </row>
    <row r="7" spans="1:13" ht="19.5" customHeight="1">
      <c r="A7" s="2"/>
      <c r="B7" s="36" t="str">
        <f>'12.lan'!D297</f>
        <v>Total purchases from suppliers (in Euros):</v>
      </c>
      <c r="C7" s="37"/>
      <c r="D7" s="448" t="str">
        <f>IF(SUM(F10:F14)&gt;C7,'12.lan'!D44,"")</f>
        <v/>
      </c>
      <c r="E7" s="38"/>
      <c r="F7" s="39"/>
    </row>
    <row r="8" spans="1:13" ht="19.5" customHeight="1">
      <c r="A8" s="2"/>
      <c r="B8" s="36" t="str">
        <f>'12.lan'!D298</f>
        <v>Enter the 5 most important industry sectors whose products or services you use.</v>
      </c>
      <c r="C8" s="35"/>
      <c r="D8" s="35"/>
      <c r="E8" s="35"/>
      <c r="F8" s="35"/>
    </row>
    <row r="9" spans="1:13" ht="19.5" customHeight="1">
      <c r="A9" s="2"/>
      <c r="B9" s="34" t="str">
        <f>'12.lan'!D299</f>
        <v>Industry sector</v>
      </c>
      <c r="C9" s="34" t="str">
        <f>'12.lan'!D300</f>
        <v>Description</v>
      </c>
      <c r="D9" s="34" t="str">
        <f>'12.lan'!D301</f>
        <v>Region of origin</v>
      </c>
      <c r="E9" s="34"/>
      <c r="F9" s="34" t="str">
        <f>'12.lan'!D302</f>
        <v>Costs</v>
      </c>
    </row>
    <row r="10" spans="1:13" ht="19.5" customHeight="1">
      <c r="A10" s="2"/>
      <c r="B10" s="40" t="str">
        <f>'12.lan'!$D$203</f>
        <v>Please choose</v>
      </c>
      <c r="C10" s="37" t="str">
        <f>'12.lan'!$D$202</f>
        <v>Please enter</v>
      </c>
      <c r="D10" s="37" t="str">
        <f>'12.lan'!$D$203</f>
        <v>Please choose</v>
      </c>
      <c r="E10" s="37"/>
      <c r="F10" s="37">
        <v>0</v>
      </c>
    </row>
    <row r="11" spans="1:13" ht="19.5" customHeight="1">
      <c r="A11" s="2"/>
      <c r="B11" s="40" t="str">
        <f>'12.lan'!$D$203</f>
        <v>Please choose</v>
      </c>
      <c r="C11" s="37" t="str">
        <f>'12.lan'!$D$202</f>
        <v>Please enter</v>
      </c>
      <c r="D11" s="37" t="str">
        <f>'12.lan'!$D$203</f>
        <v>Please choose</v>
      </c>
      <c r="E11" s="37"/>
      <c r="F11" s="37">
        <v>0</v>
      </c>
    </row>
    <row r="12" spans="1:13" ht="19.5" customHeight="1">
      <c r="A12" s="2"/>
      <c r="B12" s="40" t="str">
        <f>'12.lan'!$D$203</f>
        <v>Please choose</v>
      </c>
      <c r="C12" s="37" t="str">
        <f>'12.lan'!$D$202</f>
        <v>Please enter</v>
      </c>
      <c r="D12" s="37" t="str">
        <f>'12.lan'!$D$203</f>
        <v>Please choose</v>
      </c>
      <c r="E12" s="37"/>
      <c r="F12" s="37">
        <v>0</v>
      </c>
    </row>
    <row r="13" spans="1:13" ht="19.5" customHeight="1">
      <c r="A13" s="2"/>
      <c r="B13" s="40" t="str">
        <f>'12.lan'!$D$203</f>
        <v>Please choose</v>
      </c>
      <c r="C13" s="37" t="str">
        <f>'12.lan'!$D$202</f>
        <v>Please enter</v>
      </c>
      <c r="D13" s="37" t="str">
        <f>'12.lan'!$D$203</f>
        <v>Please choose</v>
      </c>
      <c r="E13" s="37"/>
      <c r="F13" s="37">
        <v>0</v>
      </c>
    </row>
    <row r="14" spans="1:13" ht="19.5" customHeight="1">
      <c r="A14" s="2"/>
      <c r="B14" s="40" t="str">
        <f>'12.lan'!$D$203</f>
        <v>Please choose</v>
      </c>
      <c r="C14" s="37" t="str">
        <f>'12.lan'!$D$202</f>
        <v>Please enter</v>
      </c>
      <c r="D14" s="37" t="str">
        <f>'12.lan'!$D$203</f>
        <v>Please choose</v>
      </c>
      <c r="E14" s="37"/>
      <c r="F14" s="37">
        <v>0</v>
      </c>
    </row>
    <row r="15" spans="1:13" ht="19.5" customHeight="1">
      <c r="A15" s="2"/>
      <c r="B15" s="557" t="str">
        <f>'12.lan'!$D$303</f>
        <v>Main origin of the other suppliers</v>
      </c>
      <c r="C15" s="557"/>
      <c r="D15" s="37" t="str">
        <f>'12.lan'!$D$203</f>
        <v>Please choose</v>
      </c>
      <c r="E15" s="37"/>
      <c r="F15" s="41">
        <f>C7-F10-F11-F12-F13-F14</f>
        <v>0</v>
      </c>
    </row>
    <row r="16" spans="1:13" ht="9.75" customHeight="1">
      <c r="A16" s="2"/>
      <c r="B16" s="42"/>
      <c r="C16" s="43"/>
    </row>
    <row r="17" spans="1:6" ht="19.5" customHeight="1">
      <c r="A17" s="2"/>
      <c r="B17" s="34" t="str">
        <f>'12.lan'!B122</f>
        <v>B: Owners, equity- and financial service providers</v>
      </c>
      <c r="C17" s="35"/>
    </row>
    <row r="18" spans="1:6" ht="19.5" customHeight="1">
      <c r="A18" s="2"/>
      <c r="B18" s="36" t="str">
        <f>'12.lan'!D304</f>
        <v>Profit</v>
      </c>
      <c r="C18" s="37">
        <v>0</v>
      </c>
    </row>
    <row r="19" spans="1:6" ht="19.5" customHeight="1">
      <c r="A19" s="2"/>
      <c r="B19" s="36" t="str">
        <f>'12.lan'!D305</f>
        <v>Financing costs</v>
      </c>
      <c r="C19" s="37">
        <v>0</v>
      </c>
    </row>
    <row r="20" spans="1:6" ht="19.5" customHeight="1">
      <c r="A20" s="2"/>
      <c r="B20" s="36" t="str">
        <f>'12.lan'!D306</f>
        <v>Income from financial investments</v>
      </c>
      <c r="C20" s="37">
        <v>0</v>
      </c>
    </row>
    <row r="21" spans="1:6" ht="19.5" customHeight="1">
      <c r="A21" s="2"/>
      <c r="B21" s="36" t="str">
        <f>'12.lan'!D307</f>
        <v>Total assets</v>
      </c>
      <c r="C21" s="37">
        <v>0</v>
      </c>
    </row>
    <row r="22" spans="1:6" ht="19.5" customHeight="1">
      <c r="A22" s="2"/>
      <c r="B22" s="36" t="str">
        <f>'12.lan'!D308</f>
        <v>Additions to fixed-assets</v>
      </c>
      <c r="C22" s="37">
        <v>0</v>
      </c>
    </row>
    <row r="23" spans="1:6" ht="19.5" customHeight="1">
      <c r="A23" s="2"/>
      <c r="B23" s="36" t="str">
        <f>'12.lan'!D309</f>
        <v>Financial assets and cash balance</v>
      </c>
      <c r="C23" s="37">
        <v>0</v>
      </c>
    </row>
    <row r="24" spans="1:6" ht="9.75" customHeight="1">
      <c r="A24" s="2"/>
      <c r="B24" s="42"/>
      <c r="C24" s="44"/>
    </row>
    <row r="25" spans="1:6" ht="19.5" customHeight="1">
      <c r="A25" s="2"/>
      <c r="B25" s="34" t="str">
        <f>'12.lan'!B137</f>
        <v>C: Employees</v>
      </c>
      <c r="C25" s="35"/>
    </row>
    <row r="26" spans="1:6" ht="19.5" customHeight="1">
      <c r="A26" s="2"/>
      <c r="B26" s="36" t="str">
        <f>'12.lan'!D310</f>
        <v>Number of employees (full time equivalents)</v>
      </c>
      <c r="C26" s="37"/>
    </row>
    <row r="27" spans="1:6" ht="19.5" customHeight="1">
      <c r="A27" s="2"/>
      <c r="B27" s="36" t="str">
        <f>'12.lan'!D311</f>
        <v>Staff costs (gross without employer contribution)</v>
      </c>
      <c r="C27" s="37"/>
    </row>
    <row r="28" spans="1:6" ht="19.5" customHeight="1">
      <c r="A28" s="2"/>
      <c r="B28" s="36" t="str">
        <f>'12.lan'!D312</f>
        <v>Enter the 3 countries and regions where most of the staff are</v>
      </c>
      <c r="C28" s="35"/>
    </row>
    <row r="29" spans="1:6" ht="19.5" customHeight="1">
      <c r="A29" s="2"/>
      <c r="B29" s="36" t="str">
        <f>'12.lan'!D313</f>
        <v>Country and region</v>
      </c>
      <c r="C29" s="36"/>
      <c r="D29" s="1" t="str">
        <f>'12.lan'!D314</f>
        <v>Amount in %</v>
      </c>
    </row>
    <row r="30" spans="1:6" ht="19.5" customHeight="1">
      <c r="A30" s="2"/>
      <c r="B30" s="37" t="str">
        <f>'12.lan'!$D$203</f>
        <v>Please choose</v>
      </c>
      <c r="C30" s="37"/>
      <c r="D30" s="45">
        <v>0</v>
      </c>
      <c r="E30" s="38" t="str">
        <f>IF(SUM(D30:D32)&gt;"100%","fehlerhafte Eingabe","")</f>
        <v/>
      </c>
      <c r="F30" s="38"/>
    </row>
    <row r="31" spans="1:6" ht="19.5" customHeight="1">
      <c r="A31" s="2"/>
      <c r="B31" s="37" t="str">
        <f>'12.lan'!$D$203</f>
        <v>Please choose</v>
      </c>
      <c r="C31" s="37"/>
      <c r="D31" s="45">
        <v>0</v>
      </c>
    </row>
    <row r="32" spans="1:6" ht="19.5" customHeight="1">
      <c r="A32" s="2"/>
      <c r="B32" s="37" t="str">
        <f>'12.lan'!$D$203</f>
        <v>Please choose</v>
      </c>
      <c r="C32" s="37"/>
      <c r="D32" s="45">
        <v>0</v>
      </c>
    </row>
    <row r="33" spans="1:6" ht="19.5" customHeight="1">
      <c r="A33" s="2"/>
      <c r="B33" s="36" t="str">
        <f>'12.lan'!D315</f>
        <v>Average journey to work for staff (in km)</v>
      </c>
      <c r="C33" s="37"/>
    </row>
    <row r="34" spans="1:6" ht="19.5" customHeight="1">
      <c r="A34" s="2"/>
      <c r="B34" s="36" t="str">
        <f>'12.lan'!D316</f>
        <v>Is there a canteen for the majority of staff?</v>
      </c>
      <c r="C34" s="20"/>
      <c r="D34" s="46" t="s">
        <v>6</v>
      </c>
      <c r="E34" s="46"/>
      <c r="F34" s="46" t="s">
        <v>7</v>
      </c>
    </row>
    <row r="35" spans="1:6" ht="9.75" customHeight="1">
      <c r="A35" s="2"/>
      <c r="B35" s="42"/>
      <c r="C35" s="44"/>
    </row>
    <row r="36" spans="1:6" ht="19.5" customHeight="1">
      <c r="A36" s="2"/>
      <c r="B36" s="34" t="str">
        <f>'12.lan'!B158</f>
        <v>D: Customers and other companies</v>
      </c>
      <c r="C36" s="35"/>
      <c r="D36" s="35"/>
      <c r="E36" s="35"/>
      <c r="F36" s="35"/>
    </row>
    <row r="37" spans="1:6" ht="19.5" customHeight="1">
      <c r="A37" s="2"/>
      <c r="B37" s="36" t="str">
        <f>'12.lan'!D317</f>
        <v>Turnover (in Euros)</v>
      </c>
      <c r="C37" s="37"/>
      <c r="D37" s="39"/>
      <c r="E37" s="39"/>
      <c r="F37" s="39"/>
    </row>
    <row r="38" spans="1:6" ht="19.5" customHeight="1">
      <c r="A38" s="2"/>
      <c r="B38" s="36" t="str">
        <f>'12.lan'!D318</f>
        <v>Are your customers mainly other companies?</v>
      </c>
      <c r="C38" s="20"/>
      <c r="D38" s="39"/>
      <c r="E38" s="47"/>
      <c r="F38" s="47"/>
    </row>
    <row r="39" spans="1:6" ht="19.5" customHeight="1">
      <c r="A39" s="2"/>
      <c r="B39" s="36" t="str">
        <f>'12.lan'!D319</f>
        <v>Enter the 3 most important industry sectors which your company is active in, including a rough share of turnover</v>
      </c>
      <c r="C39" s="35"/>
      <c r="D39" s="35"/>
      <c r="E39" s="44"/>
    </row>
    <row r="40" spans="1:6" ht="19.5" customHeight="1">
      <c r="A40" s="2"/>
      <c r="B40" s="36" t="str">
        <f>'12.lan'!D320</f>
        <v>Industry sector</v>
      </c>
      <c r="C40" s="36" t="str">
        <f>'12.lan'!D321</f>
        <v>Description</v>
      </c>
      <c r="D40" s="36" t="str">
        <f>'12.lan'!D322</f>
        <v>% Amount of total turnover</v>
      </c>
      <c r="E40" s="48"/>
    </row>
    <row r="41" spans="1:6" ht="19.5" customHeight="1">
      <c r="A41" s="2"/>
      <c r="B41" s="37" t="str">
        <f>'12.lan'!$D$203</f>
        <v>Please choose</v>
      </c>
      <c r="C41" s="37"/>
      <c r="D41" s="45">
        <v>0</v>
      </c>
      <c r="E41" s="49"/>
      <c r="F41" s="50" t="str">
        <f>IF(SUM(D41:D43)&gt;"100%","fehlerhafte Eingabe","")</f>
        <v/>
      </c>
    </row>
    <row r="42" spans="1:6" ht="19.5" customHeight="1">
      <c r="A42" s="2"/>
      <c r="B42" s="37" t="str">
        <f>'12.lan'!$D$203</f>
        <v>Please choose</v>
      </c>
      <c r="C42" s="37"/>
      <c r="D42" s="45">
        <v>0</v>
      </c>
      <c r="E42" s="49"/>
    </row>
    <row r="43" spans="1:6" ht="19.5" customHeight="1">
      <c r="A43" s="2"/>
      <c r="B43" s="37" t="str">
        <f>'12.lan'!$D$203</f>
        <v>Please choose</v>
      </c>
      <c r="C43" s="37"/>
      <c r="D43" s="45">
        <v>0</v>
      </c>
      <c r="E43" s="49"/>
      <c r="F43" s="449" t="str">
        <f>IF(SUM(D41:D43)&gt;1,'12.lan'!D44,"")</f>
        <v/>
      </c>
    </row>
    <row r="44" spans="1:6" ht="9.75" customHeight="1">
      <c r="A44" s="2"/>
      <c r="B44" s="42"/>
      <c r="C44" s="44"/>
    </row>
    <row r="45" spans="1:6" ht="19.5" customHeight="1">
      <c r="A45" s="2"/>
      <c r="B45" s="34" t="str">
        <f>'12.lan'!B175</f>
        <v>E: Social environment</v>
      </c>
      <c r="C45" s="35"/>
      <c r="D45" s="35"/>
      <c r="E45" s="35"/>
      <c r="F45" s="35"/>
    </row>
    <row r="46" spans="1:6" ht="19.5" customHeight="1">
      <c r="A46" s="2"/>
      <c r="B46" s="36" t="str">
        <f>'12.lan'!D323</f>
        <v>Company size</v>
      </c>
      <c r="C46" s="36" t="str">
        <f>'9. Weighting'!H39</f>
        <v>Micro-business</v>
      </c>
    </row>
    <row r="47" spans="1:6" ht="9.75" customHeight="1">
      <c r="A47" s="2"/>
      <c r="B47" s="42"/>
      <c r="C47" s="44"/>
    </row>
    <row r="48" spans="1:6" ht="9.75" customHeight="1">
      <c r="A48" s="2"/>
      <c r="B48" s="42"/>
      <c r="C48" s="44"/>
    </row>
  </sheetData>
  <sheetProtection algorithmName="SHA-512" hashValue="O2LRmR+Ee7m9EEhzV9eGD+ZnYJTf1uib2loxmj/NnjKmOuIdjSRVf/rbKHbKfL48MnDOa+r3bHN4LNJvBrUZpg==" saltValue="W4Ql94RtNxbqL+PklGwZQA==" spinCount="100000" sheet="1"/>
  <mergeCells count="4">
    <mergeCell ref="B2:C2"/>
    <mergeCell ref="B3:C3"/>
    <mergeCell ref="B4:C4"/>
    <mergeCell ref="B15:C15"/>
  </mergeCells>
  <conditionalFormatting sqref="F10:F14">
    <cfRule type="cellIs" dxfId="10" priority="1" stopIfTrue="1" operator="equal">
      <formula>0</formula>
    </cfRule>
    <cfRule type="cellIs" dxfId="9" priority="2" stopIfTrue="1" operator="equal">
      <formula>0</formula>
    </cfRule>
  </conditionalFormatting>
  <conditionalFormatting sqref="C18:C23">
    <cfRule type="cellIs" dxfId="8" priority="3" stopIfTrue="1" operator="equal">
      <formula>0</formula>
    </cfRule>
  </conditionalFormatting>
  <conditionalFormatting sqref="C26:C27">
    <cfRule type="cellIs" dxfId="7" priority="4" stopIfTrue="1" operator="equal">
      <formula>0</formula>
    </cfRule>
  </conditionalFormatting>
  <conditionalFormatting sqref="D30:D32">
    <cfRule type="cellIs" dxfId="6" priority="5" stopIfTrue="1" operator="equal">
      <formula>0</formula>
    </cfRule>
  </conditionalFormatting>
  <conditionalFormatting sqref="C33">
    <cfRule type="cellIs" dxfId="5" priority="6" stopIfTrue="1" operator="equal">
      <formula>0</formula>
    </cfRule>
  </conditionalFormatting>
  <conditionalFormatting sqref="D41:D43">
    <cfRule type="cellIs" dxfId="4" priority="7" stopIfTrue="1" operator="equal">
      <formula>0</formula>
    </cfRule>
  </conditionalFormatting>
  <conditionalFormatting sqref="C37">
    <cfRule type="cellIs" dxfId="3" priority="8" stopIfTrue="1" operator="equal">
      <formula>0</formula>
    </cfRule>
  </conditionalFormatting>
  <conditionalFormatting sqref="B41:B43">
    <cfRule type="cellIs" dxfId="2" priority="9" stopIfTrue="1" operator="equal">
      <formula>"S - Andere Dienstleistungen"</formula>
    </cfRule>
  </conditionalFormatting>
  <conditionalFormatting sqref="C7">
    <cfRule type="cellIs" dxfId="1" priority="10" stopIfTrue="1" operator="equal">
      <formula>0</formula>
    </cfRule>
    <cfRule type="cellIs" dxfId="0" priority="11" stopIfTrue="1" operator="equal">
      <formula>0</formula>
    </cfRule>
  </conditionalFormatting>
  <dataValidations count="6">
    <dataValidation type="list" operator="equal" allowBlank="1" showErrorMessage="1" sqref="B13:B14" xr:uid="{00000000-0002-0000-0200-000000000000}">
      <formula1>Branchen</formula1>
      <formula2>0</formula2>
    </dataValidation>
    <dataValidation type="list" operator="equal" allowBlank="1" showErrorMessage="1" sqref="D13:D15 B32" xr:uid="{00000000-0002-0000-0200-000001000000}">
      <formula1>CountryCodes</formula1>
      <formula2>0</formula2>
    </dataValidation>
    <dataValidation operator="equal" allowBlank="1" showErrorMessage="1" sqref="E10:E15 B15:C15 C30:C32" xr:uid="{00000000-0002-0000-0200-000002000000}">
      <formula1>0</formula1>
      <formula2>0</formula2>
    </dataValidation>
    <dataValidation type="list" operator="equal" allowBlank="1" showErrorMessage="1" sqref="B30:B31 D10:D12" xr:uid="{00000000-0002-0000-0200-000003000000}">
      <formula1>CountryCodes</formula1>
    </dataValidation>
    <dataValidation type="list" operator="equal" allowBlank="1" showErrorMessage="1" sqref="B41:B43 B10:B12" xr:uid="{00000000-0002-0000-0200-000005000000}">
      <formula1>Branchen</formula1>
    </dataValidation>
    <dataValidation type="list" allowBlank="1" showInputMessage="1" showErrorMessage="1" sqref="C38 C34" xr:uid="{00000000-0002-0000-0200-000006000000}">
      <formula1>$M$2:$M$3</formula1>
    </dataValidation>
  </dataValidations>
  <pageMargins left="0.55972222222222223" right="0.7" top="0.6" bottom="0.78749999999999998" header="0.51180555555555551" footer="0.51180555555555551"/>
  <pageSetup paperSize="9"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O107"/>
  <sheetViews>
    <sheetView showGridLines="0" zoomScale="75" zoomScaleNormal="75" workbookViewId="0">
      <pane ySplit="8" topLeftCell="A10" activePane="bottomLeft" state="frozen"/>
      <selection pane="bottomLeft" activeCell="D10" sqref="D10"/>
    </sheetView>
  </sheetViews>
  <sheetFormatPr baseColWidth="10" defaultColWidth="10.7109375" defaultRowHeight="12.75" customHeight="1"/>
  <cols>
    <col min="1" max="1" width="1.28515625" style="11" customWidth="1"/>
    <col min="2" max="2" width="6.7109375" style="51" customWidth="1"/>
    <col min="3" max="3" width="68.7109375" style="52" customWidth="1"/>
    <col min="4" max="4" width="6.28515625" style="53" customWidth="1"/>
    <col min="5" max="5" width="12.7109375" style="53" customWidth="1"/>
    <col min="6" max="6" width="42.7109375" style="51" customWidth="1"/>
    <col min="7" max="7" width="4.28515625" style="51" customWidth="1"/>
    <col min="8" max="8" width="8.140625" style="53" customWidth="1"/>
    <col min="9" max="9" width="7.28515625" style="54" customWidth="1"/>
    <col min="10" max="10" width="7.28515625" style="55" customWidth="1"/>
    <col min="11" max="11" width="9.7109375" style="11" hidden="1" customWidth="1"/>
    <col min="12" max="12" width="12" style="11" hidden="1" customWidth="1"/>
    <col min="13" max="13" width="4.85546875" style="11" hidden="1" customWidth="1"/>
    <col min="14" max="14" width="21.140625" style="11" customWidth="1"/>
    <col min="15" max="15" width="10.7109375" style="11" hidden="1" customWidth="1"/>
    <col min="16" max="16" width="10.7109375" style="11"/>
    <col min="17" max="17" width="13.7109375" style="11" bestFit="1" customWidth="1"/>
    <col min="18" max="16384" width="10.7109375" style="11"/>
  </cols>
  <sheetData>
    <row r="1" spans="1:15" ht="12.75" customHeight="1">
      <c r="A1" s="13"/>
      <c r="B1" s="14"/>
      <c r="C1" s="22"/>
      <c r="D1" s="56"/>
      <c r="E1" s="56"/>
      <c r="F1" s="14"/>
      <c r="G1" s="14"/>
      <c r="H1" s="56"/>
      <c r="I1" s="57"/>
      <c r="J1" s="58"/>
    </row>
    <row r="2" spans="1:15" ht="12.75" customHeight="1">
      <c r="A2" s="13"/>
      <c r="B2" s="553" t="str">
        <f>'12.lan'!D91&amp;" - "&amp;'0. Intro'!B3&amp;" "&amp;'0. Intro'!C3</f>
        <v>Common Good Balance Calculator - Version 5.02</v>
      </c>
      <c r="C2" s="553"/>
      <c r="D2" s="56"/>
      <c r="E2" s="56"/>
      <c r="F2" s="14"/>
      <c r="G2" s="59"/>
      <c r="H2" s="564"/>
      <c r="I2" s="564"/>
      <c r="J2" s="564"/>
    </row>
    <row r="3" spans="1:15" ht="5.25" customHeight="1">
      <c r="A3" s="13"/>
      <c r="B3" s="565" t="str">
        <f>'12.lan'!D90</f>
        <v>CALCULATION OF INDIVIDUAL ASPECTS</v>
      </c>
      <c r="C3" s="565"/>
      <c r="D3" s="565"/>
      <c r="E3" s="60"/>
      <c r="F3" s="61"/>
      <c r="G3" s="14"/>
      <c r="H3" s="564"/>
      <c r="I3" s="564"/>
      <c r="J3" s="564"/>
    </row>
    <row r="4" spans="1:15" ht="19.5" customHeight="1">
      <c r="A4" s="13"/>
      <c r="B4" s="565"/>
      <c r="C4" s="565"/>
      <c r="D4" s="565"/>
      <c r="E4" s="60"/>
      <c r="F4" s="566" t="str">
        <f>'12.lan'!D92</f>
        <v>Total Balance Score:</v>
      </c>
      <c r="G4" s="62"/>
      <c r="H4" s="567">
        <f>I4/J4</f>
        <v>0</v>
      </c>
      <c r="I4" s="568">
        <f>IF(SUM(I9+I23+I38+I59+I76)*1000/SUM(J9+J23+J38+J59+J76)&lt;-3600,-3600,SUM(I9+I23+I38+I59+I76)*1000/SUM(J9+J23+J38+J59+J76))</f>
        <v>0</v>
      </c>
      <c r="J4" s="569">
        <f>SUM(J9+J23+J38+J59+J76)*1000/SUM(J9+J23+J38+J59+J76)</f>
        <v>1000</v>
      </c>
      <c r="L4" s="63" t="s">
        <v>9</v>
      </c>
      <c r="M4" s="63"/>
      <c r="N4" s="64"/>
      <c r="O4" s="11" t="s">
        <v>10</v>
      </c>
    </row>
    <row r="5" spans="1:15" ht="12.75" customHeight="1">
      <c r="A5" s="13"/>
      <c r="B5" s="570" t="str">
        <f>'12.lan'!D82&amp;": "&amp;'1. General'!C6&amp;"; "&amp;'12.lan'!D83&amp;": "&amp;'1. General'!C12</f>
        <v xml:space="preserve">Company / Organisation: ; Period under review: </v>
      </c>
      <c r="C5" s="570"/>
      <c r="D5" s="570"/>
      <c r="E5" s="65"/>
      <c r="F5" s="566"/>
      <c r="G5" s="66"/>
      <c r="H5" s="567"/>
      <c r="I5" s="568"/>
      <c r="J5" s="569"/>
    </row>
    <row r="6" spans="1:15" ht="13.5" customHeight="1">
      <c r="A6" s="13"/>
      <c r="B6" s="14"/>
      <c r="C6" s="22"/>
      <c r="D6" s="56"/>
      <c r="E6" s="56"/>
      <c r="F6" s="14"/>
      <c r="G6" s="14"/>
      <c r="H6" s="56"/>
      <c r="I6" s="57"/>
      <c r="J6" s="58"/>
    </row>
    <row r="7" spans="1:15" ht="29.25" customHeight="1">
      <c r="A7" s="13"/>
      <c r="B7" s="558"/>
      <c r="C7" s="558"/>
      <c r="D7" s="558"/>
      <c r="E7" s="558"/>
      <c r="F7" s="558"/>
      <c r="G7" s="558"/>
      <c r="H7" s="558"/>
      <c r="I7" s="558"/>
      <c r="J7" s="558"/>
    </row>
    <row r="8" spans="1:15" ht="30" customHeight="1">
      <c r="A8" s="13"/>
      <c r="B8" s="67" t="str">
        <f>'12.lan'!D93</f>
        <v>No.</v>
      </c>
      <c r="C8" s="67" t="str">
        <f>'12.lan'!D107</f>
        <v>Stakeholders/ Themes/ Aspects</v>
      </c>
      <c r="D8" s="559" t="str">
        <f>'12.lan'!D96</f>
        <v>Weight</v>
      </c>
      <c r="E8" s="559"/>
      <c r="F8" s="68" t="str">
        <f>'12.lan'!D102</f>
        <v>Current status</v>
      </c>
      <c r="G8" s="68"/>
      <c r="H8" s="69" t="str">
        <f>'12.lan'!D104</f>
        <v>Est%</v>
      </c>
      <c r="I8" s="70" t="str">
        <f>'12.lan'!D105</f>
        <v>Points</v>
      </c>
      <c r="J8" s="70" t="str">
        <f>'12.lan'!D106</f>
        <v>Max.</v>
      </c>
      <c r="L8" s="71" t="s">
        <v>11</v>
      </c>
      <c r="M8" s="71"/>
      <c r="O8" s="72" t="s">
        <v>12</v>
      </c>
    </row>
    <row r="9" spans="1:15" ht="36" customHeight="1">
      <c r="A9" s="13"/>
      <c r="B9" s="73" t="s">
        <v>13</v>
      </c>
      <c r="C9" s="560" t="str">
        <f>'12.lan'!D108</f>
        <v>Suppliers</v>
      </c>
      <c r="D9" s="560"/>
      <c r="E9" s="560"/>
      <c r="F9" s="560"/>
      <c r="G9" s="560"/>
      <c r="H9" s="74">
        <f>IF(J9&lt;&gt;0,ROUND(N9,1),"-")</f>
        <v>0</v>
      </c>
      <c r="I9" s="75">
        <f>I10+I13+I17+I20</f>
        <v>0</v>
      </c>
      <c r="J9" s="75">
        <f>J10+J13+J17+J20</f>
        <v>179.48717948717947</v>
      </c>
      <c r="N9" s="76">
        <f>I9/J9</f>
        <v>0</v>
      </c>
    </row>
    <row r="10" spans="1:15" ht="33" customHeight="1">
      <c r="A10" s="13"/>
      <c r="B10" s="77" t="s">
        <v>14</v>
      </c>
      <c r="C10" s="78" t="str">
        <f>'12.lan'!D109</f>
        <v>Human dignity in the supply chain</v>
      </c>
      <c r="D10" s="79">
        <f>IF(K10="trifft nicht zu",C106,'9. Weighting'!M16)</f>
        <v>1</v>
      </c>
      <c r="E10" s="80" t="str">
        <f>VLOOKUP(D10,$C$102:$D$106,2,FALSE)</f>
        <v>medium</v>
      </c>
      <c r="F10" s="81">
        <f>'9. Weighting'!M16</f>
        <v>1</v>
      </c>
      <c r="G10" s="78"/>
      <c r="H10" s="82">
        <f>IF(J10&lt;&gt;0,ROUND(SUM(I11:I12)/J10,1),"-")</f>
        <v>0</v>
      </c>
      <c r="I10" s="83">
        <f>IF(J10=0,0,H10*J10)</f>
        <v>0</v>
      </c>
      <c r="J10" s="83">
        <f>'9. Weighting'!M15</f>
        <v>51.282051282051277</v>
      </c>
      <c r="K10" s="64"/>
      <c r="L10" s="11">
        <f>VLOOKUP(O10,$C$102:$E$106,3,FALSE)</f>
        <v>1</v>
      </c>
      <c r="M10" s="11">
        <f>VLOOKUP(D10,$C$102:$E$106,3,FALSE)</f>
        <v>1</v>
      </c>
      <c r="N10" s="84" t="str">
        <f>IF(L10=M10,"",'12.lan'!$D$240&amp;VLOOKUP(L10,$C$102:$D$106,2,FALSE)&amp;" ("&amp;L10&amp;")")</f>
        <v/>
      </c>
      <c r="O10" s="11">
        <f>IF(K10="trifft nicht zu",C106,'9. Weighting'!M16)</f>
        <v>1</v>
      </c>
    </row>
    <row r="11" spans="1:15" ht="33.75" customHeight="1">
      <c r="A11" s="13"/>
      <c r="B11" s="85" t="s">
        <v>15</v>
      </c>
      <c r="C11" s="85" t="str">
        <f>'12.lan'!D110</f>
        <v>Working conditions and social impact in the supply chain</v>
      </c>
      <c r="D11" s="86"/>
      <c r="E11" s="87"/>
      <c r="F11" s="88" t="str">
        <f>'12.lan'!$D$329</f>
        <v>Introduce value between 0 and 10</v>
      </c>
      <c r="G11" s="89"/>
      <c r="H11" s="90">
        <v>0</v>
      </c>
      <c r="I11" s="91">
        <f>J11*H11/10</f>
        <v>0</v>
      </c>
      <c r="J11" s="91">
        <f>J10*K11/K11</f>
        <v>51.282051282051277</v>
      </c>
      <c r="K11" s="11">
        <v>1</v>
      </c>
      <c r="N11" s="84" t="str">
        <f>IF(L11=M11,"",'12.lan'!$D$240&amp;" "&amp;VLOOKUP(L11,$C$102:$D$106,2,FALSE)&amp;" ("&amp;L11&amp;")")</f>
        <v/>
      </c>
    </row>
    <row r="12" spans="1:15" ht="30" customHeight="1">
      <c r="A12" s="13"/>
      <c r="B12" s="85" t="s">
        <v>16</v>
      </c>
      <c r="C12" s="85" t="str">
        <f>'12.lan'!D111</f>
        <v>Negative aspect: violation of human dignity in the supply chain</v>
      </c>
      <c r="D12" s="86"/>
      <c r="E12" s="87"/>
      <c r="F12" s="88" t="str">
        <f>'12.lan'!$D$330</f>
        <v>Introduce negative points between 0 and -200</v>
      </c>
      <c r="G12" s="89"/>
      <c r="H12" s="90">
        <v>0</v>
      </c>
      <c r="I12" s="91">
        <f>H12*J10/50</f>
        <v>0</v>
      </c>
      <c r="J12" s="91">
        <f>-200*J10/50</f>
        <v>-205.12820512820511</v>
      </c>
    </row>
    <row r="13" spans="1:15" ht="33" customHeight="1">
      <c r="A13" s="13"/>
      <c r="B13" s="77" t="s">
        <v>17</v>
      </c>
      <c r="C13" s="78" t="str">
        <f>'12.lan'!D112</f>
        <v>Solidarity and social justice in the supply chain</v>
      </c>
      <c r="D13" s="79">
        <f>IF(K13="trifft nicht zu",C106,'9. Weighting'!N16)</f>
        <v>1</v>
      </c>
      <c r="E13" s="80" t="str">
        <f>VLOOKUP(D13,$C$102:$D$106,2,FALSE)</f>
        <v>medium</v>
      </c>
      <c r="F13" s="92">
        <f>IF(K13="trifft nicht zu","trifft nicht zu",'9. Weighting'!N16)</f>
        <v>1</v>
      </c>
      <c r="G13" s="93"/>
      <c r="H13" s="82">
        <f>IF(J13&lt;&gt;0,ROUND(SUM(I14:I16)/J13,1),"-")</f>
        <v>0</v>
      </c>
      <c r="I13" s="83">
        <f>IF(J13=0,0,H13*J13)</f>
        <v>0</v>
      </c>
      <c r="J13" s="83">
        <f>'9. Weighting'!N15</f>
        <v>51.282051282051277</v>
      </c>
      <c r="K13" s="64" t="str">
        <f>IF(AND(D14="trifft nicht zu",D15="trifft nicht zu"),"trifft nicht zu","")</f>
        <v/>
      </c>
      <c r="L13" s="11">
        <f>VLOOKUP(O13,$C$102:$E$106,3,FALSE)</f>
        <v>1</v>
      </c>
      <c r="M13" s="11">
        <f>VLOOKUP(D13,$C$102:$E$106,3,FALSE)</f>
        <v>1</v>
      </c>
      <c r="N13" s="84" t="str">
        <f>IF(L13=M13,"",'12.lan'!$D$240&amp;VLOOKUP(L13,$C$102:$D$106,2,FALSE)&amp;" ("&amp;L13&amp;")")</f>
        <v/>
      </c>
      <c r="O13" s="11">
        <f>IF(K13="trifft nicht zu",C106,'9. Weighting'!N16)</f>
        <v>1</v>
      </c>
    </row>
    <row r="14" spans="1:15" ht="30" customHeight="1">
      <c r="A14" s="13"/>
      <c r="B14" s="85" t="s">
        <v>18</v>
      </c>
      <c r="C14" s="85" t="str">
        <f>'12.lan'!D113</f>
        <v>Fair business practices towards direct suppliers</v>
      </c>
      <c r="D14" s="86">
        <f>C104</f>
        <v>1</v>
      </c>
      <c r="E14" s="99" t="str">
        <f>VLOOKUP(D14,$C$102:$D$106,2,FALSE)</f>
        <v>medium</v>
      </c>
      <c r="F14" s="88" t="str">
        <f>'12.lan'!$D$329</f>
        <v>Introduce value between 0 and 10</v>
      </c>
      <c r="G14" s="89"/>
      <c r="H14" s="90">
        <v>0</v>
      </c>
      <c r="I14" s="91">
        <f>IFERROR(J14*H14/10,0)</f>
        <v>0</v>
      </c>
      <c r="J14" s="91">
        <f>IFERROR(J13*K14/(K15+K14),0)</f>
        <v>25.641025641025639</v>
      </c>
      <c r="K14" s="11">
        <f>VLOOKUP(D14,$C$102:$E$106,3,FALSE)</f>
        <v>1</v>
      </c>
      <c r="L14" s="11">
        <f>VLOOKUP(O14,$C$102:$E$106,3,FALSE)</f>
        <v>1</v>
      </c>
      <c r="M14" s="11">
        <f>VLOOKUP(D14,$C$102:$E$106,3,FALSE)</f>
        <v>1</v>
      </c>
      <c r="N14" s="84" t="str">
        <f>IF(L14=M14,"",'12.lan'!$D$240&amp;VLOOKUP(L14,$C$102:$D$106,2,FALSE)&amp;" ("&amp;L14&amp;")")</f>
        <v/>
      </c>
      <c r="O14" s="11">
        <f>C104</f>
        <v>1</v>
      </c>
    </row>
    <row r="15" spans="1:15" ht="34.5" customHeight="1">
      <c r="A15" s="13"/>
      <c r="B15" s="85" t="s">
        <v>19</v>
      </c>
      <c r="C15" s="85" t="str">
        <f>'12.lan'!D114</f>
        <v>Exercising a positive influence on solidarity and social justice in the supply chain</v>
      </c>
      <c r="D15" s="86">
        <f>C104</f>
        <v>1</v>
      </c>
      <c r="E15" s="87" t="str">
        <f>VLOOKUP(D15,$C$102:$D$106,2,FALSE)</f>
        <v>medium</v>
      </c>
      <c r="F15" s="88" t="str">
        <f>'12.lan'!$D$329</f>
        <v>Introduce value between 0 and 10</v>
      </c>
      <c r="G15" s="89"/>
      <c r="H15" s="90">
        <v>0</v>
      </c>
      <c r="I15" s="91">
        <f>IFERROR(J15*H15/10,0)</f>
        <v>0</v>
      </c>
      <c r="J15" s="91">
        <f>IFERROR(J13*K15/(K14+K15),0)</f>
        <v>25.641025641025639</v>
      </c>
      <c r="K15" s="11">
        <f>VLOOKUP(D15,$C$102:$E$106,3,FALSE)</f>
        <v>1</v>
      </c>
      <c r="L15" s="11">
        <f>VLOOKUP(O15,$C$102:$E$106,3,FALSE)</f>
        <v>1</v>
      </c>
      <c r="M15" s="11">
        <f>VLOOKUP(D15,$C$102:$E$106,3,FALSE)</f>
        <v>1</v>
      </c>
      <c r="N15" s="84" t="str">
        <f>IF(L15=M15,"",'12.lan'!$D$240&amp;VLOOKUP(L15,$C$102:$D$106,2,FALSE)&amp;" ("&amp;L15&amp;")")</f>
        <v/>
      </c>
      <c r="O15" s="11">
        <f>C104</f>
        <v>1</v>
      </c>
    </row>
    <row r="16" spans="1:15" ht="33" customHeight="1">
      <c r="A16" s="13"/>
      <c r="B16" s="85" t="s">
        <v>20</v>
      </c>
      <c r="C16" s="85" t="str">
        <f>'12.lan'!D115</f>
        <v>Negative aspect: abuse of market power against suppliers</v>
      </c>
      <c r="D16" s="86"/>
      <c r="E16" s="87"/>
      <c r="F16" s="88" t="str">
        <f>'12.lan'!$D$330</f>
        <v>Introduce negative points between 0 and -200</v>
      </c>
      <c r="G16" s="89"/>
      <c r="H16" s="90">
        <v>0</v>
      </c>
      <c r="I16" s="91">
        <f>H16*J13/50</f>
        <v>0</v>
      </c>
      <c r="J16" s="91">
        <f>-200*J13/50</f>
        <v>-205.12820512820511</v>
      </c>
    </row>
    <row r="17" spans="1:15" ht="33" customHeight="1">
      <c r="A17" s="13"/>
      <c r="B17" s="77" t="s">
        <v>21</v>
      </c>
      <c r="C17" s="78" t="str">
        <f>'12.lan'!D116</f>
        <v>Environmental sustainability in the supply chain</v>
      </c>
      <c r="D17" s="79">
        <f>IF(K17="trifft nicht zu",C106,'9. Weighting'!O16)</f>
        <v>1</v>
      </c>
      <c r="E17" s="80" t="str">
        <f>VLOOKUP(D17,$C$102:$D$106,2,FALSE)</f>
        <v>medium</v>
      </c>
      <c r="F17" s="92">
        <f>IF(K17="trifft nicht zu","trifft nicht zu",'9. Weighting'!O16)</f>
        <v>1</v>
      </c>
      <c r="G17" s="93"/>
      <c r="H17" s="82">
        <f>IF(J17&lt;&gt;0,ROUND(SUM(I18:I19)/J17,1),"-")</f>
        <v>0</v>
      </c>
      <c r="I17" s="83">
        <f>IF(J17=0,0,H17*J17)</f>
        <v>0</v>
      </c>
      <c r="J17" s="83">
        <f>'9. Weighting'!O15</f>
        <v>51.282051282051277</v>
      </c>
      <c r="K17" s="64" t="str">
        <f>IF(D18="trifft nicht zu","trifft nicht zu","")</f>
        <v/>
      </c>
      <c r="L17" s="11">
        <f>VLOOKUP(O17,$C$102:$E$106,3,FALSE)</f>
        <v>1</v>
      </c>
      <c r="M17" s="11">
        <f>VLOOKUP(D17,$C$102:$E$106,3,FALSE)</f>
        <v>1</v>
      </c>
      <c r="N17" s="84" t="str">
        <f>IF(L17=M17,"",'12.lan'!$D$240&amp;VLOOKUP(L17,$C$102:$D$106,2,FALSE)&amp;" ("&amp;L17&amp;")")</f>
        <v/>
      </c>
      <c r="O17" s="11">
        <f>IF(K17="trifft nicht zu",C106,'9. Weighting'!O16)</f>
        <v>1</v>
      </c>
    </row>
    <row r="18" spans="1:15" ht="30" customHeight="1">
      <c r="A18" s="13"/>
      <c r="B18" s="85" t="s">
        <v>22</v>
      </c>
      <c r="C18" s="85" t="str">
        <f>'12.lan'!D117</f>
        <v>Environmental impact throughout the supply chain</v>
      </c>
      <c r="D18" s="86"/>
      <c r="E18" s="87"/>
      <c r="F18" s="88" t="str">
        <f>'12.lan'!$D$329</f>
        <v>Introduce value between 0 and 10</v>
      </c>
      <c r="G18" s="89"/>
      <c r="H18" s="90">
        <v>0</v>
      </c>
      <c r="I18" s="91">
        <f>J18*H18/10</f>
        <v>0</v>
      </c>
      <c r="J18" s="91">
        <f>J17*K18/K18</f>
        <v>51.282051282051277</v>
      </c>
      <c r="K18" s="11">
        <v>1</v>
      </c>
      <c r="N18" s="84" t="str">
        <f>IF(L18=M18,"",'12.lan'!$D$240&amp;VLOOKUP(L18,$C$102:$D$106,2,FALSE)&amp;" ("&amp;L18&amp;")")</f>
        <v/>
      </c>
    </row>
    <row r="19" spans="1:15" ht="33" customHeight="1">
      <c r="A19" s="13"/>
      <c r="B19" s="85" t="s">
        <v>23</v>
      </c>
      <c r="C19" s="85" t="str">
        <f>'12.lan'!D118</f>
        <v>Negative aspect: disproportionate environmental impact throughout the supply chain</v>
      </c>
      <c r="D19" s="86"/>
      <c r="E19" s="87"/>
      <c r="F19" s="88" t="str">
        <f>'12.lan'!$D$330</f>
        <v>Introduce negative points between 0 and -200</v>
      </c>
      <c r="G19" s="89"/>
      <c r="H19" s="90">
        <v>0</v>
      </c>
      <c r="I19" s="91">
        <f>H19*J17/50</f>
        <v>0</v>
      </c>
      <c r="J19" s="91">
        <f>-200*J17/50</f>
        <v>-205.12820512820511</v>
      </c>
    </row>
    <row r="20" spans="1:15" ht="33" customHeight="1">
      <c r="A20" s="13"/>
      <c r="B20" s="77" t="s">
        <v>24</v>
      </c>
      <c r="C20" s="78" t="str">
        <f>'12.lan'!D119</f>
        <v>Transparency &amp; co-determination in the supply chain</v>
      </c>
      <c r="D20" s="79">
        <f>IF(K20="trifft nicht zu",C106,'9. Weighting'!P16)</f>
        <v>0.5</v>
      </c>
      <c r="E20" s="80" t="str">
        <f>VLOOKUP(D20,$C$102:$D$106,2,FALSE)</f>
        <v>low</v>
      </c>
      <c r="F20" s="92">
        <f>IF(K20="trifft nicht zu","trifft nicht zu",'9. Weighting'!P16)</f>
        <v>0.5</v>
      </c>
      <c r="G20" s="93"/>
      <c r="H20" s="82">
        <f>IF(J20&lt;&gt;0,ROUND(SUM(I21:I22)/J20,1),"-")</f>
        <v>0</v>
      </c>
      <c r="I20" s="83">
        <f>IF(J20=0,0,H20*J20)</f>
        <v>0</v>
      </c>
      <c r="J20" s="83">
        <f>'9. Weighting'!P15</f>
        <v>25.641025641025639</v>
      </c>
      <c r="K20" s="64" t="str">
        <f>IF(AND(D21="trifft nicht zu",D22="trifft nicht zu"),"trifft nicht zu","")</f>
        <v/>
      </c>
      <c r="L20" s="11">
        <f>VLOOKUP(O20,$C$102:$E$106,3,FALSE)</f>
        <v>0.5</v>
      </c>
      <c r="M20" s="11">
        <f>VLOOKUP(D20,$C$102:$E$106,3,FALSE)</f>
        <v>0.5</v>
      </c>
      <c r="N20" s="84" t="str">
        <f>IF(L20=M20,"",'12.lan'!$D$240&amp;VLOOKUP(L20,$C$102:$D$106,2,FALSE)&amp;" ("&amp;L20&amp;")")</f>
        <v/>
      </c>
      <c r="O20" s="11">
        <f>IF(K20="trifft nicht zu",C106,'9. Weighting'!P16)</f>
        <v>0.5</v>
      </c>
    </row>
    <row r="21" spans="1:15" ht="36.75" customHeight="1">
      <c r="A21" s="13"/>
      <c r="B21" s="85" t="s">
        <v>25</v>
      </c>
      <c r="C21" s="85" t="str">
        <f>'12.lan'!D120</f>
        <v>Transparency towards suppliers and their right to co-determination</v>
      </c>
      <c r="D21" s="86">
        <f>C104</f>
        <v>1</v>
      </c>
      <c r="E21" s="87" t="str">
        <f>VLOOKUP(D21,$C$102:$D$106,2,FALSE)</f>
        <v>medium</v>
      </c>
      <c r="F21" s="88" t="str">
        <f>'12.lan'!$D$329</f>
        <v>Introduce value between 0 and 10</v>
      </c>
      <c r="G21" s="89"/>
      <c r="H21" s="90">
        <v>0</v>
      </c>
      <c r="I21" s="91">
        <f>IFERROR(J21*H21/10,0)</f>
        <v>0</v>
      </c>
      <c r="J21" s="91">
        <f>IFERROR(J20*K21/(K22+K21),0)</f>
        <v>12.820512820512819</v>
      </c>
      <c r="K21" s="11">
        <f>VLOOKUP(D21,$C$102:$E$106,3,FALSE)</f>
        <v>1</v>
      </c>
      <c r="L21" s="11">
        <f>VLOOKUP(O21,$C$102:$E$106,3,FALSE)</f>
        <v>1</v>
      </c>
      <c r="M21" s="11">
        <f>VLOOKUP(D21,$C$102:$E$106,3,FALSE)</f>
        <v>1</v>
      </c>
      <c r="N21" s="84" t="str">
        <f>IF(L21=M21,"",'12.lan'!$D$240&amp;VLOOKUP(L21,$C$102:$D$106,2,FALSE)&amp;" ("&amp;L21&amp;")")</f>
        <v/>
      </c>
      <c r="O21" s="11">
        <f>C104</f>
        <v>1</v>
      </c>
    </row>
    <row r="22" spans="1:15" ht="40.5" customHeight="1">
      <c r="A22" s="13"/>
      <c r="B22" s="85" t="s">
        <v>26</v>
      </c>
      <c r="C22" s="85" t="str">
        <f>'12.lan'!D121</f>
        <v>Positive influence on transparency and co-determination throughout the supply chain</v>
      </c>
      <c r="D22" s="86">
        <f>C104</f>
        <v>1</v>
      </c>
      <c r="E22" s="87" t="str">
        <f>VLOOKUP(D22,$C$102:$D$106,2,FALSE)</f>
        <v>medium</v>
      </c>
      <c r="F22" s="88" t="str">
        <f>'12.lan'!$D$329</f>
        <v>Introduce value between 0 and 10</v>
      </c>
      <c r="G22" s="89"/>
      <c r="H22" s="90">
        <v>0</v>
      </c>
      <c r="I22" s="91">
        <f>IFERROR(J22*H22/10,0)</f>
        <v>0</v>
      </c>
      <c r="J22" s="91">
        <f>IFERROR(J20*K22/(K21+K22),0)</f>
        <v>12.820512820512819</v>
      </c>
      <c r="K22" s="11">
        <f>VLOOKUP(D22,$C$102:$E$106,3,FALSE)</f>
        <v>1</v>
      </c>
      <c r="L22" s="11">
        <f>VLOOKUP(O22,$C$102:$E$106,3,FALSE)</f>
        <v>1</v>
      </c>
      <c r="M22" s="11">
        <f>VLOOKUP(D22,$C$102:$E$106,3,FALSE)</f>
        <v>1</v>
      </c>
      <c r="N22" s="84" t="str">
        <f>IF(L22=M22,"",'12.lan'!$D$240&amp;VLOOKUP(L22,$C$102:$D$106,2,FALSE)&amp;" ("&amp;L22&amp;")")</f>
        <v/>
      </c>
      <c r="O22" s="11">
        <f>C104</f>
        <v>1</v>
      </c>
    </row>
    <row r="23" spans="1:15" ht="36" customHeight="1">
      <c r="A23" s="13"/>
      <c r="B23" s="73" t="s">
        <v>27</v>
      </c>
      <c r="C23" s="73" t="str">
        <f>'12.lan'!D122</f>
        <v>Owners, equity- and financial service providers</v>
      </c>
      <c r="D23" s="94"/>
      <c r="E23" s="95"/>
      <c r="F23" s="95"/>
      <c r="G23" s="95"/>
      <c r="H23" s="74">
        <f>I23/J23</f>
        <v>0</v>
      </c>
      <c r="I23" s="75">
        <f>I24+I28+I31+I35</f>
        <v>0</v>
      </c>
      <c r="J23" s="75">
        <f>J24+J28+J31+J35</f>
        <v>205.12820512820511</v>
      </c>
    </row>
    <row r="24" spans="1:15" ht="33" customHeight="1">
      <c r="A24" s="13"/>
      <c r="B24" s="77" t="s">
        <v>28</v>
      </c>
      <c r="C24" s="78" t="str">
        <f>'12.lan'!D123</f>
        <v>Ethical position in relation to financial resources</v>
      </c>
      <c r="D24" s="79">
        <f>IF(K24="trifft nicht zu",C106,'9. Weighting'!M24)</f>
        <v>1</v>
      </c>
      <c r="E24" s="96" t="str">
        <f>VLOOKUP(D24,$C$102:$D$106,2,FALSE)</f>
        <v>medium</v>
      </c>
      <c r="F24" s="92">
        <f>IF(K24="trifft nicht zu","trifft nicht zu",'9. Weighting'!M24)</f>
        <v>1</v>
      </c>
      <c r="G24" s="93"/>
      <c r="H24" s="82">
        <f>IF(J24&lt;&gt;0,ROUND(SUM(I25:I27)/J24,1),"-")</f>
        <v>0</v>
      </c>
      <c r="I24" s="83">
        <f>IF(J24=0,0,H24*J24)</f>
        <v>0</v>
      </c>
      <c r="J24" s="83">
        <f>'9. Weighting'!M23</f>
        <v>51.282051282051277</v>
      </c>
      <c r="K24" s="64" t="str">
        <f>IF(AND(D25="trifft nicht zu",D26="trifft nicht zu",,D27="trifft nicht zu"),"trifft nicht zu","")</f>
        <v/>
      </c>
      <c r="L24" s="11">
        <f t="shared" ref="L24:L29" si="0">VLOOKUP(O24,$C$102:$E$106,3,FALSE)</f>
        <v>1</v>
      </c>
      <c r="M24" s="11">
        <f t="shared" ref="M24:M29" si="1">VLOOKUP(D24,$C$102:$E$106,3,FALSE)</f>
        <v>1</v>
      </c>
      <c r="N24" s="84" t="str">
        <f>IF(L24=M24,"",'12.lan'!$D$240&amp;VLOOKUP(L24,$C$102:$D$106,2,FALSE)&amp;" ("&amp;L24&amp;")")</f>
        <v/>
      </c>
      <c r="O24" s="97">
        <f>IF(K24="trifft nicht zu",C106,'9. Weighting'!M24)</f>
        <v>1</v>
      </c>
    </row>
    <row r="25" spans="1:15" ht="30" customHeight="1">
      <c r="A25" s="13"/>
      <c r="B25" s="98" t="s">
        <v>29</v>
      </c>
      <c r="C25" s="85" t="str">
        <f>'12.lan'!D124</f>
        <v>Financial independence through equity financing</v>
      </c>
      <c r="D25" s="86">
        <f>C104</f>
        <v>1</v>
      </c>
      <c r="E25" s="99" t="str">
        <f>VLOOKUP(D25,$C$102:$D$106,2,FALSE)</f>
        <v>medium</v>
      </c>
      <c r="F25" s="88" t="str">
        <f>'12.lan'!$D$329</f>
        <v>Introduce value between 0 and 10</v>
      </c>
      <c r="G25" s="89"/>
      <c r="H25" s="90">
        <v>0</v>
      </c>
      <c r="I25" s="91">
        <f>IFERROR(J25*H25/10,0)</f>
        <v>0</v>
      </c>
      <c r="J25" s="91">
        <f>IFERROR($J$24*K25/($K$27+$K$26+$K$25),0)</f>
        <v>17.094017094017094</v>
      </c>
      <c r="K25" s="11">
        <f>VLOOKUP(D25,$C$102:$E$106,3,FALSE)</f>
        <v>1</v>
      </c>
      <c r="L25" s="11">
        <f t="shared" si="0"/>
        <v>1</v>
      </c>
      <c r="M25" s="11">
        <f t="shared" si="1"/>
        <v>1</v>
      </c>
      <c r="N25" s="84" t="str">
        <f>IF(L25=M25,"",'12.lan'!$D$240&amp;VLOOKUP(L25,$C$102:$D$106,2,FALSE)&amp;" ("&amp;L25&amp;")")</f>
        <v/>
      </c>
      <c r="O25" s="11">
        <f>C104</f>
        <v>1</v>
      </c>
    </row>
    <row r="26" spans="1:15" ht="30" customHeight="1">
      <c r="A26" s="13"/>
      <c r="B26" s="21" t="s">
        <v>30</v>
      </c>
      <c r="C26" s="30" t="str">
        <f>'12.lan'!D125</f>
        <v>Common Good-orientated borrowing</v>
      </c>
      <c r="D26" s="86">
        <f>C104</f>
        <v>1</v>
      </c>
      <c r="E26" s="99" t="str">
        <f>VLOOKUP(D26,$C$102:$D$106,2,FALSE)</f>
        <v>medium</v>
      </c>
      <c r="F26" s="88" t="str">
        <f>'12.lan'!$D$329</f>
        <v>Introduce value between 0 and 10</v>
      </c>
      <c r="G26" s="89"/>
      <c r="H26" s="90">
        <v>0</v>
      </c>
      <c r="I26" s="91">
        <f>IFERROR(J26*H26/10,0)</f>
        <v>0</v>
      </c>
      <c r="J26" s="91">
        <f>IFERROR($J$24*K26/($K$27+$K$26+$K$25),0)</f>
        <v>17.094017094017094</v>
      </c>
      <c r="K26" s="11">
        <f>VLOOKUP(D26,$C$102:$E$106,3,FALSE)</f>
        <v>1</v>
      </c>
      <c r="L26" s="11">
        <f t="shared" si="0"/>
        <v>1</v>
      </c>
      <c r="M26" s="11">
        <f t="shared" si="1"/>
        <v>1</v>
      </c>
      <c r="N26" s="84" t="str">
        <f>IF(L26=M26,"",'12.lan'!$D$240&amp;VLOOKUP(L26,$C$102:$D$106,2,FALSE)&amp;" ("&amp;L26&amp;")")</f>
        <v/>
      </c>
      <c r="O26" s="11">
        <f>C104</f>
        <v>1</v>
      </c>
    </row>
    <row r="27" spans="1:15" ht="30" customHeight="1">
      <c r="A27" s="13"/>
      <c r="B27" s="21" t="s">
        <v>31</v>
      </c>
      <c r="C27" s="30" t="str">
        <f>'12.lan'!D126</f>
        <v>Ethical position of external financial partners</v>
      </c>
      <c r="D27" s="86">
        <f>C104</f>
        <v>1</v>
      </c>
      <c r="E27" s="99" t="str">
        <f>VLOOKUP(D27,$C$102:$D$106,2,FALSE)</f>
        <v>medium</v>
      </c>
      <c r="F27" s="88" t="str">
        <f>'12.lan'!$D$329</f>
        <v>Introduce value between 0 and 10</v>
      </c>
      <c r="G27" s="89"/>
      <c r="H27" s="90">
        <v>0</v>
      </c>
      <c r="I27" s="91">
        <f>IFERROR(J27*H27/10,0)</f>
        <v>0</v>
      </c>
      <c r="J27" s="91">
        <f>IFERROR($J$24*K27/($K$27+$K$26+$K$25),0)</f>
        <v>17.094017094017094</v>
      </c>
      <c r="K27" s="11">
        <f>VLOOKUP(D27,$C$102:$E$106,3,FALSE)</f>
        <v>1</v>
      </c>
      <c r="L27" s="11">
        <f t="shared" si="0"/>
        <v>1</v>
      </c>
      <c r="M27" s="11">
        <f t="shared" si="1"/>
        <v>1</v>
      </c>
      <c r="N27" s="84" t="str">
        <f>IF(L27=M27,"",'12.lan'!$D$240&amp;VLOOKUP(L27,$C$102:$D$106,2,FALSE)&amp;" ("&amp;L27&amp;")")</f>
        <v/>
      </c>
      <c r="O27" s="11">
        <f>C104</f>
        <v>1</v>
      </c>
    </row>
    <row r="28" spans="1:15" ht="33" customHeight="1">
      <c r="A28" s="13"/>
      <c r="B28" s="77" t="s">
        <v>32</v>
      </c>
      <c r="C28" s="78" t="str">
        <f>'12.lan'!D127</f>
        <v>Social position in relation to financial resources</v>
      </c>
      <c r="D28" s="79">
        <f>IF(K28="trifft nicht zu",C106,'9. Weighting'!N24)</f>
        <v>1</v>
      </c>
      <c r="E28" s="96" t="str">
        <f>VLOOKUP(D28,$C$102:$D$106,2,FALSE)</f>
        <v>medium</v>
      </c>
      <c r="F28" s="92">
        <f>IF(K28="trifft nicht zu","trifft nicht zu",'9. Weighting'!N24)</f>
        <v>1</v>
      </c>
      <c r="G28" s="93"/>
      <c r="H28" s="82">
        <f>IF(J28&lt;&gt;0,ROUND(SUM(I29:I30)/J28,1),"-")</f>
        <v>0</v>
      </c>
      <c r="I28" s="83">
        <f>IF(J28=0,0,H28*J28)</f>
        <v>0</v>
      </c>
      <c r="J28" s="83">
        <f>'9. Weighting'!N23</f>
        <v>51.282051282051277</v>
      </c>
      <c r="L28" s="11">
        <f t="shared" si="0"/>
        <v>1</v>
      </c>
      <c r="M28" s="11">
        <f t="shared" si="1"/>
        <v>1</v>
      </c>
      <c r="N28" s="84" t="str">
        <f>IF(L28=M28,"",'12.lan'!$D$240&amp;VLOOKUP(L28,$C$102:$D$106,2,FALSE)&amp;" ("&amp;L28&amp;")")</f>
        <v/>
      </c>
      <c r="O28" s="97">
        <f>IF(K28="trifft nicht zu",C106,'9. Weighting'!N24)</f>
        <v>1</v>
      </c>
    </row>
    <row r="29" spans="1:15" ht="30" customHeight="1">
      <c r="A29" s="13"/>
      <c r="B29" s="98" t="s">
        <v>33</v>
      </c>
      <c r="C29" s="85" t="str">
        <f>'12.lan'!D128</f>
        <v>Solidarity and Common Good-orientated use of funds</v>
      </c>
      <c r="D29" s="100"/>
      <c r="E29" s="101"/>
      <c r="F29" s="88" t="str">
        <f>'12.lan'!$D$329</f>
        <v>Introduce value between 0 and 10</v>
      </c>
      <c r="G29" s="89"/>
      <c r="H29" s="90">
        <v>0</v>
      </c>
      <c r="I29" s="91">
        <f>J29*H29/10</f>
        <v>0</v>
      </c>
      <c r="J29" s="91">
        <f>$J$28*K29/(K29)</f>
        <v>51.282051282051277</v>
      </c>
      <c r="K29" s="11">
        <v>1</v>
      </c>
      <c r="L29" s="11">
        <f t="shared" si="0"/>
        <v>0</v>
      </c>
      <c r="M29" s="11">
        <f t="shared" si="1"/>
        <v>0</v>
      </c>
      <c r="N29" s="84"/>
    </row>
    <row r="30" spans="1:15" ht="30" customHeight="1">
      <c r="A30" s="13"/>
      <c r="B30" s="21" t="s">
        <v>34</v>
      </c>
      <c r="C30" s="30" t="str">
        <f>'12.lan'!D129</f>
        <v>Negative aspect: unfair distribution of funds</v>
      </c>
      <c r="D30" s="102"/>
      <c r="E30" s="99"/>
      <c r="F30" s="88" t="str">
        <f>'12.lan'!$D$330</f>
        <v>Introduce negative points between 0 and -200</v>
      </c>
      <c r="G30" s="89"/>
      <c r="H30" s="90">
        <v>0</v>
      </c>
      <c r="I30" s="91">
        <f>H30*J28/50</f>
        <v>0</v>
      </c>
      <c r="J30" s="91">
        <f>-200*J28/50</f>
        <v>-205.12820512820511</v>
      </c>
    </row>
    <row r="31" spans="1:15" ht="33" customHeight="1">
      <c r="A31" s="13"/>
      <c r="B31" s="77" t="s">
        <v>35</v>
      </c>
      <c r="C31" s="78" t="str">
        <f>'12.lan'!D130</f>
        <v>Use of funds in relation to social and environmental impacts</v>
      </c>
      <c r="D31" s="79">
        <f>IF(K31="trifft nicht zu",C106,'9. Weighting'!O24)</f>
        <v>1</v>
      </c>
      <c r="E31" s="96" t="str">
        <f>VLOOKUP(D31,$C$102:$D$106,2,FALSE)</f>
        <v>medium</v>
      </c>
      <c r="F31" s="92">
        <f>IF(K31="trifft nicht zu","trifft nicht zu",'9. Weighting'!O24)</f>
        <v>1</v>
      </c>
      <c r="G31" s="93"/>
      <c r="H31" s="82">
        <f>IF(J31&lt;&gt;0,ROUND(SUM(I32:I34)/J31,1),"-")</f>
        <v>0</v>
      </c>
      <c r="I31" s="83">
        <f>IF(J31=0,0,H31*J31)</f>
        <v>0</v>
      </c>
      <c r="J31" s="83">
        <f>'9. Weighting'!O23</f>
        <v>51.282051282051277</v>
      </c>
      <c r="K31" s="64" t="str">
        <f>IF(AND(D32="trifft nicht zu",D33="trifft nicht zu"),"trifft nicht zu","")</f>
        <v/>
      </c>
      <c r="L31" s="11">
        <f>VLOOKUP(O31,$C$102:$E$106,3,FALSE)</f>
        <v>1</v>
      </c>
      <c r="M31" s="11">
        <f>VLOOKUP(D31,$C$102:$E$106,3,FALSE)</f>
        <v>1</v>
      </c>
      <c r="N31" s="84" t="str">
        <f>IF(L31=M31,"",'12.lan'!$D$240&amp;VLOOKUP(L31,$C$102:$D$106,2,FALSE)&amp;" ("&amp;L31&amp;")")</f>
        <v/>
      </c>
      <c r="O31" s="97">
        <f>IF(K31="trifft nicht zu",C106,'9. Weighting'!O24)</f>
        <v>1</v>
      </c>
    </row>
    <row r="32" spans="1:15" ht="30" customHeight="1">
      <c r="A32" s="13"/>
      <c r="B32" s="98" t="s">
        <v>36</v>
      </c>
      <c r="C32" s="85" t="str">
        <f>'12.lan'!D131</f>
        <v>Environmental quality of investments</v>
      </c>
      <c r="D32" s="86">
        <f>C104</f>
        <v>1</v>
      </c>
      <c r="E32" s="99" t="str">
        <f>VLOOKUP(D32,$C$102:$D$106,2,FALSE)</f>
        <v>medium</v>
      </c>
      <c r="F32" s="88" t="str">
        <f>'12.lan'!$D$329</f>
        <v>Introduce value between 0 and 10</v>
      </c>
      <c r="G32" s="89"/>
      <c r="H32" s="90">
        <v>0</v>
      </c>
      <c r="I32" s="91">
        <f>IFERROR(J32*H32/10,0)</f>
        <v>0</v>
      </c>
      <c r="J32" s="91">
        <f>IFERROR($J$31*K32/($K$32+$K$33),0)</f>
        <v>25.641025641025639</v>
      </c>
      <c r="K32" s="11">
        <f>VLOOKUP(D32,$C$102:$E$106,3,FALSE)</f>
        <v>1</v>
      </c>
      <c r="L32" s="11">
        <f>VLOOKUP(O32,$C$102:$E$106,3,FALSE)</f>
        <v>1</v>
      </c>
      <c r="M32" s="11">
        <f>VLOOKUP(D32,$C$102:$E$106,3,FALSE)</f>
        <v>1</v>
      </c>
      <c r="N32" s="84" t="str">
        <f>IF(L32=M32,"",'12.lan'!$D$240&amp;VLOOKUP(L32,$C$102:$D$106,2,FALSE)&amp;" ("&amp;L32&amp;")")</f>
        <v/>
      </c>
      <c r="O32" s="11">
        <f>C104</f>
        <v>1</v>
      </c>
    </row>
    <row r="33" spans="1:15" ht="30" customHeight="1">
      <c r="A33" s="13"/>
      <c r="B33" s="21" t="s">
        <v>37</v>
      </c>
      <c r="C33" s="30" t="str">
        <f>'12.lan'!D132</f>
        <v>Common Good-orientated investment</v>
      </c>
      <c r="D33" s="86">
        <f>C104</f>
        <v>1</v>
      </c>
      <c r="E33" s="99" t="str">
        <f>VLOOKUP(D33,$C$102:$D$106,2,FALSE)</f>
        <v>medium</v>
      </c>
      <c r="F33" s="88" t="str">
        <f>'12.lan'!$D$329</f>
        <v>Introduce value between 0 and 10</v>
      </c>
      <c r="G33" s="89"/>
      <c r="H33" s="90">
        <v>0</v>
      </c>
      <c r="I33" s="91">
        <f>IFERROR(J33*H33/10,0)</f>
        <v>0</v>
      </c>
      <c r="J33" s="91">
        <f>IFERROR($J$31*K33/($K$32+$K$33),0)</f>
        <v>25.641025641025639</v>
      </c>
      <c r="K33" s="11">
        <f>VLOOKUP(D33,$C$102:$E$106,3,FALSE)</f>
        <v>1</v>
      </c>
      <c r="L33" s="11">
        <f>VLOOKUP(O33,$C$102:$E$106,3,FALSE)</f>
        <v>1</v>
      </c>
      <c r="M33" s="11">
        <f>VLOOKUP(D33,$C$102:$E$106,3,FALSE)</f>
        <v>1</v>
      </c>
      <c r="N33" s="84" t="str">
        <f>IF(L33=M33,"",'12.lan'!$D$240&amp;VLOOKUP(L33,$C$102:$D$106,2,FALSE)&amp;" ("&amp;L33&amp;")")</f>
        <v/>
      </c>
      <c r="O33" s="11">
        <f>C104</f>
        <v>1</v>
      </c>
    </row>
    <row r="34" spans="1:15" ht="30" customHeight="1">
      <c r="A34" s="13"/>
      <c r="B34" s="21" t="s">
        <v>38</v>
      </c>
      <c r="C34" s="30" t="str">
        <f>'12.lan'!D133</f>
        <v>Negative aspect: reliance on environmentally unsafe resources</v>
      </c>
      <c r="D34" s="86"/>
      <c r="E34" s="99"/>
      <c r="F34" s="88" t="str">
        <f>'12.lan'!$D$330</f>
        <v>Introduce negative points between 0 and -200</v>
      </c>
      <c r="G34" s="89"/>
      <c r="H34" s="90">
        <v>0</v>
      </c>
      <c r="I34" s="91">
        <f>H34*J31/50</f>
        <v>0</v>
      </c>
      <c r="J34" s="91">
        <f>-200*J31/50</f>
        <v>-205.12820512820511</v>
      </c>
    </row>
    <row r="35" spans="1:15" ht="33" customHeight="1">
      <c r="A35" s="13"/>
      <c r="B35" s="77" t="s">
        <v>39</v>
      </c>
      <c r="C35" s="78" t="str">
        <f>'12.lan'!D134</f>
        <v>Ownership and co-determination</v>
      </c>
      <c r="D35" s="79">
        <f>IF(K35="trifft nicht zu",C106,'9. Weighting'!P24)</f>
        <v>1</v>
      </c>
      <c r="E35" s="96" t="str">
        <f>VLOOKUP(D35,$C$102:$D$106,2,FALSE)</f>
        <v>medium</v>
      </c>
      <c r="F35" s="92">
        <f>IF(K35="trifft nicht zu","trifft nicht zu",'9. Weighting'!P24)</f>
        <v>1</v>
      </c>
      <c r="G35" s="93"/>
      <c r="H35" s="82">
        <f>IF(J35&lt;&gt;0,ROUND(SUM(I36:I37)/J35,1),"-")</f>
        <v>0</v>
      </c>
      <c r="I35" s="83">
        <f>IF(J35=0,0,H35*J35)</f>
        <v>0</v>
      </c>
      <c r="J35" s="83">
        <f>'9. Weighting'!P23</f>
        <v>51.282051282051277</v>
      </c>
      <c r="L35" s="11">
        <f>VLOOKUP(O35,$C$102:$E$106,3,FALSE)</f>
        <v>1</v>
      </c>
      <c r="M35" s="11">
        <f>VLOOKUP(D35,$C$102:$E$106,3,FALSE)</f>
        <v>1</v>
      </c>
      <c r="N35" s="84" t="str">
        <f>IF(L35=M35,"",'12.lan'!$D$240&amp;VLOOKUP(L35,$C$102:$D$106,2,FALSE)&amp;" ("&amp;L35&amp;")")</f>
        <v/>
      </c>
      <c r="O35" s="11">
        <f>IF(K35="trifft nicht zu",C106,'9. Weighting'!P24)</f>
        <v>1</v>
      </c>
    </row>
    <row r="36" spans="1:15" ht="30" customHeight="1">
      <c r="A36" s="13"/>
      <c r="B36" s="98" t="s">
        <v>40</v>
      </c>
      <c r="C36" s="85" t="str">
        <f>'12.lan'!D135</f>
        <v>Common Good-orientated ownership structure</v>
      </c>
      <c r="D36" s="86"/>
      <c r="E36" s="99"/>
      <c r="F36" s="88" t="str">
        <f>'12.lan'!$D$329</f>
        <v>Introduce value between 0 and 10</v>
      </c>
      <c r="G36" s="89"/>
      <c r="H36" s="90">
        <v>0</v>
      </c>
      <c r="I36" s="91">
        <f>J36*H36/10</f>
        <v>0</v>
      </c>
      <c r="J36" s="91">
        <f>$J$35*K36/(K36)</f>
        <v>51.282051282051277</v>
      </c>
      <c r="K36" s="11">
        <v>1</v>
      </c>
    </row>
    <row r="37" spans="1:15" ht="30" customHeight="1">
      <c r="A37" s="13"/>
      <c r="B37" s="21" t="s">
        <v>41</v>
      </c>
      <c r="C37" s="30" t="str">
        <f>'12.lan'!D136</f>
        <v>Negative aspect: hostile takeover</v>
      </c>
      <c r="D37" s="86"/>
      <c r="E37" s="99"/>
      <c r="F37" s="88" t="str">
        <f>'12.lan'!$D$330</f>
        <v>Introduce negative points between 0 and -200</v>
      </c>
      <c r="G37" s="89"/>
      <c r="H37" s="90">
        <v>0</v>
      </c>
      <c r="I37" s="91">
        <f>H37*J35/50</f>
        <v>0</v>
      </c>
      <c r="J37" s="91">
        <f>-200*J35/50</f>
        <v>-205.12820512820511</v>
      </c>
    </row>
    <row r="38" spans="1:15" ht="36" customHeight="1">
      <c r="A38" s="13"/>
      <c r="B38" s="73" t="s">
        <v>42</v>
      </c>
      <c r="C38" s="73" t="str">
        <f>'12.lan'!D137</f>
        <v>Employees</v>
      </c>
      <c r="D38" s="94"/>
      <c r="E38" s="103"/>
      <c r="F38" s="95"/>
      <c r="G38" s="95"/>
      <c r="H38" s="74">
        <f>I38/J38</f>
        <v>0</v>
      </c>
      <c r="I38" s="75">
        <f>I39+I44+I49+I54</f>
        <v>0</v>
      </c>
      <c r="J38" s="75">
        <f>J39+J44+J49+J54</f>
        <v>205.12820512820511</v>
      </c>
    </row>
    <row r="39" spans="1:15" ht="32.25" customHeight="1">
      <c r="A39" s="13"/>
      <c r="B39" s="77" t="s">
        <v>43</v>
      </c>
      <c r="C39" s="78" t="str">
        <f>'12.lan'!D138</f>
        <v>Human dignity in the workplace and working environment</v>
      </c>
      <c r="D39" s="79">
        <f>IF(K39="trifft nicht zu",C106,'9. Weighting'!M30)</f>
        <v>1</v>
      </c>
      <c r="E39" s="96" t="str">
        <f>VLOOKUP(D39,$C$102:$D$106,2,FALSE)</f>
        <v>medium</v>
      </c>
      <c r="F39" s="92">
        <f>IF(K39="trifft nicht zu","trifft nicht zu",'9. Weighting'!M30)</f>
        <v>1</v>
      </c>
      <c r="G39" s="93"/>
      <c r="H39" s="82">
        <f>IF(J39&lt;&gt;0,ROUND(SUM(I40:I43)/J39,1),"-")</f>
        <v>0</v>
      </c>
      <c r="I39" s="83">
        <f>IF(J39=0,0,H39*J39)</f>
        <v>0</v>
      </c>
      <c r="J39" s="83">
        <f>'9. Weighting'!M29</f>
        <v>51.282051282051277</v>
      </c>
      <c r="K39" s="64" t="str">
        <f>IF(AND(D40="trifft nicht zu",D41="trifft nicht zu",,D42="trifft nicht zu"),"trifft nicht zu","")</f>
        <v/>
      </c>
      <c r="L39" s="11">
        <f>VLOOKUP(O39,$C$102:$E$106,3,FALSE)</f>
        <v>1</v>
      </c>
      <c r="M39" s="11">
        <f>VLOOKUP(D39,$C$102:$E$106,3,FALSE)</f>
        <v>1</v>
      </c>
      <c r="N39" s="84" t="str">
        <f>IF(L39=M39,"",'12.lan'!$D$240&amp;VLOOKUP(L39,$C$102:$D$106,2,FALSE)&amp;" ("&amp;L39&amp;")")</f>
        <v/>
      </c>
      <c r="O39" s="11">
        <f>IF(K39="trifft nicht zu",C106,'9. Weighting'!M30)</f>
        <v>1</v>
      </c>
    </row>
    <row r="40" spans="1:15" ht="30" customHeight="1">
      <c r="A40" s="13"/>
      <c r="B40" s="85" t="s">
        <v>44</v>
      </c>
      <c r="C40" s="85" t="str">
        <f>'12.lan'!D139</f>
        <v>Employee-focused organisational culture</v>
      </c>
      <c r="D40" s="86">
        <f>C104</f>
        <v>1</v>
      </c>
      <c r="E40" s="99" t="str">
        <f>VLOOKUP(D40,$C$102:$D$106,2,FALSE)</f>
        <v>medium</v>
      </c>
      <c r="F40" s="88" t="str">
        <f>'12.lan'!$D$329</f>
        <v>Introduce value between 0 and 10</v>
      </c>
      <c r="G40" s="89"/>
      <c r="H40" s="90">
        <v>0</v>
      </c>
      <c r="I40" s="91">
        <f>IFERROR(J40*H40/10,0)</f>
        <v>0</v>
      </c>
      <c r="J40" s="91">
        <f>IFERROR($J$39*K40/(SUM($K$40:$K$42)),0)</f>
        <v>17.094017094017094</v>
      </c>
      <c r="K40" s="11">
        <f>VLOOKUP(D40,$C$102:$E$106,3,FALSE)</f>
        <v>1</v>
      </c>
      <c r="L40" s="11">
        <f>VLOOKUP(O40,$C$102:$E$106,3,FALSE)</f>
        <v>1</v>
      </c>
      <c r="M40" s="11">
        <f>VLOOKUP(D40,$C$102:$E$106,3,FALSE)</f>
        <v>1</v>
      </c>
      <c r="N40" s="84" t="str">
        <f>IF(L40=M40,"",'12.lan'!$D$240&amp;VLOOKUP(L40,$C$102:$D$106,2,FALSE)&amp;" ("&amp;L40&amp;")")</f>
        <v/>
      </c>
      <c r="O40" s="11">
        <f>C104</f>
        <v>1</v>
      </c>
    </row>
    <row r="41" spans="1:15" ht="30" customHeight="1">
      <c r="A41" s="13"/>
      <c r="B41" s="30" t="s">
        <v>45</v>
      </c>
      <c r="C41" s="30" t="str">
        <f>'12.lan'!D140</f>
        <v>Health promotion and occupational health and safety</v>
      </c>
      <c r="D41" s="86">
        <f>C104</f>
        <v>1</v>
      </c>
      <c r="E41" s="99" t="str">
        <f>VLOOKUP(D41,$C$102:$D$106,2,FALSE)</f>
        <v>medium</v>
      </c>
      <c r="F41" s="88" t="str">
        <f>'12.lan'!$D$329</f>
        <v>Introduce value between 0 and 10</v>
      </c>
      <c r="G41" s="89"/>
      <c r="H41" s="90">
        <v>0</v>
      </c>
      <c r="I41" s="91">
        <f>IFERROR(J41*H41/10,0)</f>
        <v>0</v>
      </c>
      <c r="J41" s="91">
        <f>IFERROR($J$39*K41/(SUM($K$40:$K$42)),0)</f>
        <v>17.094017094017094</v>
      </c>
      <c r="K41" s="11">
        <f>VLOOKUP(D41,$C$102:$E$106,3,FALSE)</f>
        <v>1</v>
      </c>
      <c r="L41" s="11">
        <f>VLOOKUP(O41,$C$102:$E$106,3,FALSE)</f>
        <v>1</v>
      </c>
      <c r="M41" s="11">
        <f>VLOOKUP(D41,$C$102:$E$106,3,FALSE)</f>
        <v>1</v>
      </c>
      <c r="N41" s="84" t="str">
        <f>IF(L41=M41,"",'12.lan'!$D$240&amp;VLOOKUP(L41,$C$102:$D$106,2,FALSE)&amp;" ("&amp;L41&amp;")")</f>
        <v/>
      </c>
      <c r="O41" s="11">
        <f>C104</f>
        <v>1</v>
      </c>
    </row>
    <row r="42" spans="1:15" ht="30" customHeight="1">
      <c r="A42" s="13"/>
      <c r="B42" s="30" t="s">
        <v>46</v>
      </c>
      <c r="C42" s="30" t="str">
        <f>'12.lan'!D141</f>
        <v>Diversity and equal opportunities</v>
      </c>
      <c r="D42" s="86">
        <f>C104</f>
        <v>1</v>
      </c>
      <c r="E42" s="99" t="str">
        <f>VLOOKUP(D42,$C$102:$D$106,2,FALSE)</f>
        <v>medium</v>
      </c>
      <c r="F42" s="88" t="str">
        <f>'12.lan'!$D$329</f>
        <v>Introduce value between 0 and 10</v>
      </c>
      <c r="G42" s="89"/>
      <c r="H42" s="90">
        <v>0</v>
      </c>
      <c r="I42" s="91">
        <f>IFERROR(J42*H42/10,0)</f>
        <v>0</v>
      </c>
      <c r="J42" s="91">
        <f>IFERROR($J$39*K42/(SUM($K$40:$K$42)),0)</f>
        <v>17.094017094017094</v>
      </c>
      <c r="K42" s="11">
        <f>VLOOKUP(D42,$C$102:$E$106,3,FALSE)</f>
        <v>1</v>
      </c>
      <c r="L42" s="11">
        <f>VLOOKUP(O42,$C$102:$E$106,3,FALSE)</f>
        <v>1</v>
      </c>
      <c r="M42" s="11">
        <f>VLOOKUP(D42,$C$102:$E$106,3,FALSE)</f>
        <v>1</v>
      </c>
      <c r="N42" s="84" t="str">
        <f>IF(L42=M42,"",'12.lan'!$D$240&amp;VLOOKUP(L42,$C$102:$D$106,2,FALSE)&amp;" ("&amp;L42&amp;")")</f>
        <v/>
      </c>
      <c r="O42" s="11">
        <f>C104</f>
        <v>1</v>
      </c>
    </row>
    <row r="43" spans="1:15" ht="30" customHeight="1">
      <c r="A43" s="13"/>
      <c r="B43" s="104" t="s">
        <v>47</v>
      </c>
      <c r="C43" s="104" t="str">
        <f>'12.lan'!D142</f>
        <v>Negative aspect: unfit working conditions</v>
      </c>
      <c r="D43" s="86"/>
      <c r="E43" s="99"/>
      <c r="F43" s="88" t="str">
        <f>'12.lan'!$D$330</f>
        <v>Introduce negative points between 0 and -200</v>
      </c>
      <c r="G43" s="89"/>
      <c r="H43" s="90">
        <v>0</v>
      </c>
      <c r="I43" s="91">
        <f>H43*J39/50</f>
        <v>0</v>
      </c>
      <c r="J43" s="91">
        <f>-200*J39/50</f>
        <v>-205.12820512820511</v>
      </c>
    </row>
    <row r="44" spans="1:15" ht="33" customHeight="1">
      <c r="A44" s="13"/>
      <c r="B44" s="77" t="s">
        <v>48</v>
      </c>
      <c r="C44" s="78" t="str">
        <f>'12.lan'!D143</f>
        <v>Self-determined working arrangements</v>
      </c>
      <c r="D44" s="79">
        <f>IF(K44="trifft nicht zu",C106,'9. Weighting'!N30)</f>
        <v>1</v>
      </c>
      <c r="E44" s="96" t="str">
        <f>VLOOKUP(D44,$C$102:$D$106,2,FALSE)</f>
        <v>medium</v>
      </c>
      <c r="F44" s="92">
        <f>IF(K44="trifft nicht zu","trifft nicht zu",'9. Weighting'!N30)</f>
        <v>1</v>
      </c>
      <c r="G44" s="93"/>
      <c r="H44" s="82">
        <f>IF(J44&lt;&gt;0,ROUND(SUM(I45:I48)/J44,1),"-")</f>
        <v>0</v>
      </c>
      <c r="I44" s="83">
        <f>IF(J44=0,0,H44*J44)</f>
        <v>0</v>
      </c>
      <c r="J44" s="83">
        <f>'9. Weighting'!N29</f>
        <v>51.282051282051277</v>
      </c>
      <c r="K44" s="64" t="str">
        <f>IF(AND(D45="trifft nicht zu",D46="trifft nicht zu",,D47="trifft nicht zu"),"trifft nicht zu","")</f>
        <v/>
      </c>
      <c r="L44" s="11">
        <f>VLOOKUP(O44,$C$102:$E$106,3,FALSE)</f>
        <v>1</v>
      </c>
      <c r="M44" s="11">
        <f>VLOOKUP(D44,$C$102:$E$106,3,FALSE)</f>
        <v>1</v>
      </c>
      <c r="N44" s="84" t="str">
        <f>IF(L44=M44,"",'12.lan'!$D$240&amp;VLOOKUP(L44,$C$102:$D$106,2,FALSE)&amp;" ("&amp;L44&amp;")")</f>
        <v/>
      </c>
      <c r="O44" s="11">
        <f>IF(K44="trifft nicht zu",C106,'9. Weighting'!N30)</f>
        <v>1</v>
      </c>
    </row>
    <row r="45" spans="1:15" ht="30" customHeight="1">
      <c r="A45" s="13"/>
      <c r="B45" s="98" t="s">
        <v>49</v>
      </c>
      <c r="C45" s="85" t="str">
        <f>'12.lan'!D144</f>
        <v>Pay structure</v>
      </c>
      <c r="D45" s="86">
        <f>C104</f>
        <v>1</v>
      </c>
      <c r="E45" s="99" t="str">
        <f>VLOOKUP(D45,$C$102:$D$106,2,FALSE)</f>
        <v>medium</v>
      </c>
      <c r="F45" s="88" t="str">
        <f>'12.lan'!$D$329</f>
        <v>Introduce value between 0 and 10</v>
      </c>
      <c r="G45" s="89"/>
      <c r="H45" s="90">
        <v>0</v>
      </c>
      <c r="I45" s="91">
        <f>IFERROR(J45*H45/10,0)</f>
        <v>0</v>
      </c>
      <c r="J45" s="91">
        <f>IFERROR($J$44*K45/(SUM($K$45:$K$47)),0)</f>
        <v>17.094017094017094</v>
      </c>
      <c r="K45" s="11">
        <f>VLOOKUP(D45,$C$102:$E$106,3,FALSE)</f>
        <v>1</v>
      </c>
      <c r="L45" s="11">
        <f>VLOOKUP(O45,$C$102:$E$106,3,FALSE)</f>
        <v>1</v>
      </c>
      <c r="M45" s="11">
        <f>VLOOKUP(D45,$C$102:$E$106,3,FALSE)</f>
        <v>1</v>
      </c>
      <c r="N45" s="84" t="str">
        <f>IF(L45=M45,"",'12.lan'!$D$240&amp;VLOOKUP(L45,$C$102:$D$106,2,FALSE)&amp;" ("&amp;L45&amp;")")</f>
        <v/>
      </c>
      <c r="O45" s="11">
        <f>C104</f>
        <v>1</v>
      </c>
    </row>
    <row r="46" spans="1:15" ht="30" customHeight="1">
      <c r="A46" s="13"/>
      <c r="B46" s="21" t="s">
        <v>50</v>
      </c>
      <c r="C46" s="30" t="str">
        <f>'12.lan'!D145</f>
        <v>Structuring working time</v>
      </c>
      <c r="D46" s="86">
        <f>C104</f>
        <v>1</v>
      </c>
      <c r="E46" s="99" t="str">
        <f>VLOOKUP(D46,$C$102:$D$106,2,FALSE)</f>
        <v>medium</v>
      </c>
      <c r="F46" s="88" t="str">
        <f>'12.lan'!$D$329</f>
        <v>Introduce value between 0 and 10</v>
      </c>
      <c r="G46" s="89"/>
      <c r="H46" s="90">
        <v>0</v>
      </c>
      <c r="I46" s="91">
        <f>IFERROR(J46*H46/10,0)</f>
        <v>0</v>
      </c>
      <c r="J46" s="91">
        <f>IFERROR($J$44*K46/(SUM($K$45:$K$47)),0)</f>
        <v>17.094017094017094</v>
      </c>
      <c r="K46" s="11">
        <f>VLOOKUP(D46,$C$102:$E$106,3,FALSE)</f>
        <v>1</v>
      </c>
      <c r="L46" s="11">
        <f>VLOOKUP(O46,$C$102:$E$106,3,FALSE)</f>
        <v>1</v>
      </c>
      <c r="M46" s="11">
        <f>VLOOKUP(D46,$C$102:$E$106,3,FALSE)</f>
        <v>1</v>
      </c>
      <c r="N46" s="84" t="str">
        <f>IF(L46=M46,"",'12.lan'!$D$240&amp;VLOOKUP(L46,$C$102:$D$106,2,FALSE)&amp;" ("&amp;L46&amp;")")</f>
        <v/>
      </c>
      <c r="O46" s="11">
        <f>C104</f>
        <v>1</v>
      </c>
    </row>
    <row r="47" spans="1:15" ht="33" customHeight="1">
      <c r="A47" s="13"/>
      <c r="B47" s="105" t="s">
        <v>51</v>
      </c>
      <c r="C47" s="104" t="str">
        <f>'12.lan'!D146</f>
        <v>Employment structure and work-life balance</v>
      </c>
      <c r="D47" s="86">
        <f>C104</f>
        <v>1</v>
      </c>
      <c r="E47" s="99" t="str">
        <f>VLOOKUP(D47,$C$102:$D$106,2,FALSE)</f>
        <v>medium</v>
      </c>
      <c r="F47" s="88" t="str">
        <f>'12.lan'!$D$329</f>
        <v>Introduce value between 0 and 10</v>
      </c>
      <c r="G47" s="89"/>
      <c r="H47" s="90">
        <v>0</v>
      </c>
      <c r="I47" s="91">
        <f>IFERROR(J47*H47/10,0)</f>
        <v>0</v>
      </c>
      <c r="J47" s="91">
        <f>IFERROR($J$44*K47/(SUM($K$45:$K$47)),0)</f>
        <v>17.094017094017094</v>
      </c>
      <c r="K47" s="11">
        <f>VLOOKUP(D47,$C$102:$E$106,3,FALSE)</f>
        <v>1</v>
      </c>
      <c r="L47" s="11">
        <f>VLOOKUP(O47,$C$102:$E$106,3,FALSE)</f>
        <v>1</v>
      </c>
      <c r="M47" s="11">
        <f>VLOOKUP(D47,$C$102:$E$106,3,FALSE)</f>
        <v>1</v>
      </c>
      <c r="N47" s="84" t="str">
        <f>IF(L47=M47,"",'12.lan'!$D$240&amp;VLOOKUP(L47,$C$102:$D$106,2,FALSE)&amp;" ("&amp;L47&amp;")")</f>
        <v/>
      </c>
      <c r="O47" s="11">
        <f>C104</f>
        <v>1</v>
      </c>
    </row>
    <row r="48" spans="1:15" ht="33" customHeight="1">
      <c r="A48" s="13"/>
      <c r="B48" s="105" t="s">
        <v>52</v>
      </c>
      <c r="C48" s="104" t="str">
        <f>'12.lan'!D147</f>
        <v>Negative aspect: unfair employment contracts</v>
      </c>
      <c r="D48" s="86"/>
      <c r="E48" s="99"/>
      <c r="F48" s="88" t="str">
        <f>'12.lan'!$D$330</f>
        <v>Introduce negative points between 0 and -200</v>
      </c>
      <c r="G48" s="89"/>
      <c r="H48" s="90">
        <v>0</v>
      </c>
      <c r="I48" s="91">
        <f>H48*J44/50</f>
        <v>0</v>
      </c>
      <c r="J48" s="91">
        <f>-200*J44/50</f>
        <v>-205.12820512820511</v>
      </c>
    </row>
    <row r="49" spans="1:15" ht="33" customHeight="1">
      <c r="A49" s="13"/>
      <c r="B49" s="77" t="s">
        <v>53</v>
      </c>
      <c r="C49" s="78" t="str">
        <f>'12.lan'!D148</f>
        <v>Environmentally-friendly behaviour of staff</v>
      </c>
      <c r="D49" s="79">
        <f>IF(K49="trifft nicht zu",C106,'9. Weighting'!O30)</f>
        <v>1</v>
      </c>
      <c r="E49" s="96" t="str">
        <f>VLOOKUP(D49,$C$102:$D$106,2,FALSE)</f>
        <v>medium</v>
      </c>
      <c r="F49" s="92">
        <f>IF(K49="trifft nicht zu","trifft nicht zu",'9. Weighting'!O30)</f>
        <v>1</v>
      </c>
      <c r="G49" s="93"/>
      <c r="H49" s="82">
        <f>IF(J49&lt;&gt;0,ROUND(SUM(I50:I53)/J49,1),"-")</f>
        <v>0</v>
      </c>
      <c r="I49" s="83">
        <f>IF(J49=0,0,H49*J49)</f>
        <v>0</v>
      </c>
      <c r="J49" s="83">
        <f>'9. Weighting'!O29</f>
        <v>51.282051282051277</v>
      </c>
      <c r="K49" s="64" t="str">
        <f>IF(AND(D50="trifft nicht zu",D51="trifft nicht zu",,D52="trifft nicht zu"),"trifft nicht zu","")</f>
        <v/>
      </c>
      <c r="L49" s="11">
        <f>VLOOKUP(O49,$C$102:$E$106,3,FALSE)</f>
        <v>1</v>
      </c>
      <c r="M49" s="11">
        <f>VLOOKUP(D49,$C$102:$E$106,3,FALSE)</f>
        <v>1</v>
      </c>
      <c r="N49" s="84" t="str">
        <f>IF(L49=M49,"",'12.lan'!$D$240&amp;VLOOKUP(L49,$C$102:$D$106,2,FALSE)&amp;" ("&amp;L49&amp;")")</f>
        <v/>
      </c>
      <c r="O49" s="11">
        <f>IF(K49="trifft nicht zu",C106,'9. Weighting'!O30)</f>
        <v>1</v>
      </c>
    </row>
    <row r="50" spans="1:15" ht="30" customHeight="1">
      <c r="A50" s="13"/>
      <c r="B50" s="98" t="s">
        <v>54</v>
      </c>
      <c r="C50" s="85" t="str">
        <f>'12.lan'!D149</f>
        <v>Food during working hours</v>
      </c>
      <c r="D50" s="86">
        <f>C104</f>
        <v>1</v>
      </c>
      <c r="E50" s="99" t="str">
        <f>VLOOKUP(D50,$C$102:$D$106,2,FALSE)</f>
        <v>medium</v>
      </c>
      <c r="F50" s="88" t="str">
        <f>'12.lan'!$D$329</f>
        <v>Introduce value between 0 and 10</v>
      </c>
      <c r="G50" s="89"/>
      <c r="H50" s="90">
        <v>0</v>
      </c>
      <c r="I50" s="91">
        <f>IFERROR(J50*H50/10,0)</f>
        <v>0</v>
      </c>
      <c r="J50" s="91">
        <f>IFERROR($J$49*K50/(SUM($K$50:$K$52)),0)</f>
        <v>17.094017094017094</v>
      </c>
      <c r="K50" s="11">
        <f>VLOOKUP(D50,$C$102:$E$106,3,FALSE)</f>
        <v>1</v>
      </c>
      <c r="L50" s="11">
        <f>VLOOKUP(O50,$C$102:$E$106,3,FALSE)</f>
        <v>1</v>
      </c>
      <c r="M50" s="11">
        <f>VLOOKUP(D50,$C$102:$E$106,3,FALSE)</f>
        <v>1</v>
      </c>
      <c r="N50" s="84" t="str">
        <f>IF(L50=M50,"",'12.lan'!$D$240&amp;VLOOKUP(L50,$C$102:$D$106,2,FALSE)&amp;" ("&amp;L50&amp;")")</f>
        <v/>
      </c>
      <c r="O50" s="11">
        <f>C104</f>
        <v>1</v>
      </c>
    </row>
    <row r="51" spans="1:15" ht="30" customHeight="1">
      <c r="A51" s="13"/>
      <c r="B51" s="21" t="s">
        <v>55</v>
      </c>
      <c r="C51" s="30" t="str">
        <f>'12.lan'!D150</f>
        <v>Travel to work</v>
      </c>
      <c r="D51" s="86">
        <f>C104</f>
        <v>1</v>
      </c>
      <c r="E51" s="99" t="str">
        <f>VLOOKUP(D51,$C$102:$D$106,2,FALSE)</f>
        <v>medium</v>
      </c>
      <c r="F51" s="88" t="str">
        <f>'12.lan'!$D$329</f>
        <v>Introduce value between 0 and 10</v>
      </c>
      <c r="G51" s="89"/>
      <c r="H51" s="90">
        <v>0</v>
      </c>
      <c r="I51" s="91">
        <f>IFERROR(J51*H51/10,0)</f>
        <v>0</v>
      </c>
      <c r="J51" s="91">
        <f>IFERROR($J$49*K51/(SUM($K$50:$K$52)),0)</f>
        <v>17.094017094017094</v>
      </c>
      <c r="K51" s="11">
        <f>VLOOKUP(D51,$C$102:$E$106,3,FALSE)</f>
        <v>1</v>
      </c>
      <c r="L51" s="11">
        <f>VLOOKUP(O51,$C$102:$E$106,3,FALSE)</f>
        <v>1</v>
      </c>
      <c r="M51" s="11">
        <f>VLOOKUP(D51,$C$102:$E$106,3,FALSE)</f>
        <v>1</v>
      </c>
      <c r="N51" s="84" t="str">
        <f>IF(L51=M51,"",'12.lan'!$D$240&amp;VLOOKUP(L51,$C$102:$D$106,2,FALSE)&amp;" ("&amp;L51&amp;")")</f>
        <v/>
      </c>
      <c r="O51" s="11">
        <f>C104</f>
        <v>1</v>
      </c>
    </row>
    <row r="52" spans="1:15" ht="30" customHeight="1">
      <c r="A52" s="13"/>
      <c r="B52" s="105" t="s">
        <v>56</v>
      </c>
      <c r="C52" s="104" t="str">
        <f>'12.lan'!D151</f>
        <v>Organisational culture, cultivating awareness for an environmentally-friendly approach</v>
      </c>
      <c r="D52" s="86">
        <f>C104</f>
        <v>1</v>
      </c>
      <c r="E52" s="99" t="str">
        <f>VLOOKUP(D52,$C$102:$D$106,2,FALSE)</f>
        <v>medium</v>
      </c>
      <c r="F52" s="88" t="str">
        <f>'12.lan'!$D$329</f>
        <v>Introduce value between 0 and 10</v>
      </c>
      <c r="G52" s="89"/>
      <c r="H52" s="90">
        <v>0</v>
      </c>
      <c r="I52" s="91">
        <f>IFERROR(J52*H52/10,0)</f>
        <v>0</v>
      </c>
      <c r="J52" s="91">
        <f>IFERROR($J$49*K52/(SUM($K$50:$K$52)),0)</f>
        <v>17.094017094017094</v>
      </c>
      <c r="K52" s="11">
        <f>VLOOKUP(D52,$C$102:$E$106,3,FALSE)</f>
        <v>1</v>
      </c>
      <c r="L52" s="11">
        <f>VLOOKUP(O52,$C$102:$E$106,3,FALSE)</f>
        <v>1</v>
      </c>
      <c r="M52" s="11">
        <f>VLOOKUP(D52,$C$102:$E$106,3,FALSE)</f>
        <v>1</v>
      </c>
      <c r="N52" s="84" t="str">
        <f>IF(L52=M52,"",'12.lan'!$D$240&amp;VLOOKUP(L52,$C$102:$D$106,2,FALSE)&amp;" ("&amp;L52&amp;")")</f>
        <v/>
      </c>
      <c r="O52" s="11">
        <f>C104</f>
        <v>1</v>
      </c>
    </row>
    <row r="53" spans="1:15" ht="33.75" customHeight="1">
      <c r="A53" s="13"/>
      <c r="B53" s="105" t="s">
        <v>57</v>
      </c>
      <c r="C53" s="104" t="str">
        <f>'12.lan'!D152</f>
        <v>Negative aspect: guidance on waste/ environmentally damaging practices</v>
      </c>
      <c r="D53" s="86"/>
      <c r="E53" s="99"/>
      <c r="F53" s="88" t="str">
        <f>'12.lan'!$D$330</f>
        <v>Introduce negative points between 0 and -200</v>
      </c>
      <c r="G53" s="89"/>
      <c r="H53" s="90">
        <v>0</v>
      </c>
      <c r="I53" s="91">
        <f>H53*J49/50</f>
        <v>0</v>
      </c>
      <c r="J53" s="91">
        <f>-200*J49/50</f>
        <v>-205.12820512820511</v>
      </c>
    </row>
    <row r="54" spans="1:15" ht="33" customHeight="1">
      <c r="A54" s="13"/>
      <c r="B54" s="77" t="s">
        <v>58</v>
      </c>
      <c r="C54" s="78" t="str">
        <f>'12.lan'!D153</f>
        <v>Co-determination and transparency within the organisation</v>
      </c>
      <c r="D54" s="79">
        <f>IF(K54="trifft nicht zu",C106,'9. Weighting'!P30)</f>
        <v>1</v>
      </c>
      <c r="E54" s="96" t="str">
        <f>VLOOKUP(D54,$C$102:$D$106,2,FALSE)</f>
        <v>medium</v>
      </c>
      <c r="F54" s="92">
        <f>IF(K54="trifft nicht zu","trifft nicht zu",'9. Weighting'!P30)</f>
        <v>1</v>
      </c>
      <c r="G54" s="93"/>
      <c r="H54" s="82">
        <f>IF(J54&lt;&gt;0,ROUND(SUM(I55:I58)/J54,1),"-")</f>
        <v>0</v>
      </c>
      <c r="I54" s="83">
        <f>IF(J54=0,0,H54*J54)</f>
        <v>0</v>
      </c>
      <c r="J54" s="83">
        <f>'9. Weighting'!P29</f>
        <v>51.282051282051277</v>
      </c>
      <c r="K54" s="64" t="str">
        <f>IF(AND(D55="trifft nicht zu",D56="trifft nicht zu",,D57="trifft nicht zu"),"trifft nicht zu","")</f>
        <v/>
      </c>
      <c r="L54" s="11">
        <f>VLOOKUP(O54,$C$102:$E$106,3,FALSE)</f>
        <v>1</v>
      </c>
      <c r="M54" s="11">
        <f>VLOOKUP(D54,$C$102:$E$106,3,FALSE)</f>
        <v>1</v>
      </c>
      <c r="N54" s="84" t="str">
        <f>IF(L54=M54,"",'12.lan'!$D$240&amp;VLOOKUP(L54,$C$102:$D$106,2,FALSE)&amp;" ("&amp;L54&amp;")")</f>
        <v/>
      </c>
      <c r="O54" s="11">
        <f>IF(K54="trifft nicht zu",C106,'9. Weighting'!P30)</f>
        <v>1</v>
      </c>
    </row>
    <row r="55" spans="1:15" ht="30" customHeight="1">
      <c r="A55" s="13"/>
      <c r="B55" s="98" t="s">
        <v>59</v>
      </c>
      <c r="C55" s="85" t="str">
        <f>'12.lan'!D154</f>
        <v>Transparency within the organisation</v>
      </c>
      <c r="D55" s="86">
        <f>C104</f>
        <v>1</v>
      </c>
      <c r="E55" s="99" t="str">
        <f>VLOOKUP(D55,$C$102:$D$106,2,FALSE)</f>
        <v>medium</v>
      </c>
      <c r="F55" s="88" t="str">
        <f>'12.lan'!$D$329</f>
        <v>Introduce value between 0 and 10</v>
      </c>
      <c r="G55" s="89"/>
      <c r="H55" s="90">
        <v>0</v>
      </c>
      <c r="I55" s="91">
        <f>IFERROR(J55*H55/10,0)</f>
        <v>0</v>
      </c>
      <c r="J55" s="91">
        <f>IFERROR($J$54*K55/(SUM($K$55:$K$57)),0)</f>
        <v>17.094017094017094</v>
      </c>
      <c r="K55" s="11">
        <f>VLOOKUP(D55,$C$102:$E$106,3,FALSE)</f>
        <v>1</v>
      </c>
      <c r="L55" s="11">
        <f>VLOOKUP(O55,$C$102:$E$106,3,FALSE)</f>
        <v>1</v>
      </c>
      <c r="M55" s="11">
        <f>VLOOKUP(D55,$C$102:$E$106,3,FALSE)</f>
        <v>1</v>
      </c>
      <c r="N55" s="84" t="str">
        <f>IF(L55=M55,"",'12.lan'!$D$240&amp;VLOOKUP(L55,$C$102:$D$106,2,FALSE)&amp;" ("&amp;L55&amp;")")</f>
        <v/>
      </c>
      <c r="O55" s="11">
        <f>C104</f>
        <v>1</v>
      </c>
    </row>
    <row r="56" spans="1:15" ht="30" customHeight="1">
      <c r="A56" s="13"/>
      <c r="B56" s="21" t="s">
        <v>60</v>
      </c>
      <c r="C56" s="30" t="str">
        <f>'12.lan'!D155</f>
        <v>Legitimation of the management</v>
      </c>
      <c r="D56" s="86">
        <f>C104</f>
        <v>1</v>
      </c>
      <c r="E56" s="99" t="str">
        <f>VLOOKUP(D56,$C$102:$D$106,2,FALSE)</f>
        <v>medium</v>
      </c>
      <c r="F56" s="88" t="str">
        <f>'12.lan'!$D$329</f>
        <v>Introduce value between 0 and 10</v>
      </c>
      <c r="G56" s="89"/>
      <c r="H56" s="90">
        <v>0</v>
      </c>
      <c r="I56" s="91">
        <f>IFERROR(J56*H56/10,0)</f>
        <v>0</v>
      </c>
      <c r="J56" s="91">
        <f>IFERROR($J$54*K56/(SUM($K$55:$K$57)),0)</f>
        <v>17.094017094017094</v>
      </c>
      <c r="K56" s="11">
        <f>VLOOKUP(D56,$C$102:$E$106,3,FALSE)</f>
        <v>1</v>
      </c>
      <c r="L56" s="11">
        <f>VLOOKUP(O56,$C$102:$E$106,3,FALSE)</f>
        <v>1</v>
      </c>
      <c r="M56" s="11">
        <f>VLOOKUP(D56,$C$102:$E$106,3,FALSE)</f>
        <v>1</v>
      </c>
      <c r="N56" s="84" t="str">
        <f>IF(L56=M56,"",'12.lan'!$D$240&amp;VLOOKUP(L56,$C$102:$D$106,2,FALSE)&amp;" ("&amp;L56&amp;")")</f>
        <v/>
      </c>
      <c r="O56" s="11">
        <f>C104</f>
        <v>1</v>
      </c>
    </row>
    <row r="57" spans="1:15" ht="30" customHeight="1">
      <c r="A57" s="13"/>
      <c r="B57" s="21" t="s">
        <v>61</v>
      </c>
      <c r="C57" s="30" t="str">
        <f>'12.lan'!D156</f>
        <v>Employee co-determination</v>
      </c>
      <c r="D57" s="86">
        <f>C104</f>
        <v>1</v>
      </c>
      <c r="E57" s="99" t="str">
        <f>VLOOKUP(D57,$C$102:$D$106,2,FALSE)</f>
        <v>medium</v>
      </c>
      <c r="F57" s="88" t="str">
        <f>'12.lan'!$D$329</f>
        <v>Introduce value between 0 and 10</v>
      </c>
      <c r="G57" s="89"/>
      <c r="H57" s="90">
        <v>0</v>
      </c>
      <c r="I57" s="91">
        <f>IFERROR(J57*H57/10,0)</f>
        <v>0</v>
      </c>
      <c r="J57" s="91">
        <f>IFERROR($J$54*K57/(SUM($K$55:$K$57)),0)</f>
        <v>17.094017094017094</v>
      </c>
      <c r="K57" s="11">
        <f>VLOOKUP(D57,$C$102:$E$106,3,FALSE)</f>
        <v>1</v>
      </c>
      <c r="L57" s="11">
        <f>VLOOKUP(O57,$C$102:$E$106,3,FALSE)</f>
        <v>1</v>
      </c>
      <c r="M57" s="11">
        <f>VLOOKUP(D57,$C$102:$E$106,3,FALSE)</f>
        <v>1</v>
      </c>
      <c r="N57" s="84" t="str">
        <f>IF(L57=M57,"",'12.lan'!$D$240&amp;VLOOKUP(L57,$C$102:$D$106,2,FALSE)&amp;" ("&amp;L57&amp;")")</f>
        <v/>
      </c>
      <c r="O57" s="11">
        <f>C104</f>
        <v>1</v>
      </c>
    </row>
    <row r="58" spans="1:15" ht="30" customHeight="1">
      <c r="A58" s="13"/>
      <c r="B58" s="106" t="s">
        <v>62</v>
      </c>
      <c r="C58" s="107" t="str">
        <f>'12.lan'!D157</f>
        <v>Negative aspect: obstruction of works councils</v>
      </c>
      <c r="D58" s="86"/>
      <c r="E58" s="99"/>
      <c r="F58" s="88" t="str">
        <f>'12.lan'!$D$330</f>
        <v>Introduce negative points between 0 and -200</v>
      </c>
      <c r="G58" s="89"/>
      <c r="H58" s="90">
        <v>0</v>
      </c>
      <c r="I58" s="91">
        <f>H58*J54/50</f>
        <v>0</v>
      </c>
      <c r="J58" s="91">
        <f>-200*J54/50</f>
        <v>-205.12820512820511</v>
      </c>
    </row>
    <row r="59" spans="1:15" ht="36" customHeight="1">
      <c r="A59" s="13"/>
      <c r="B59" s="73" t="s">
        <v>63</v>
      </c>
      <c r="C59" s="73" t="str">
        <f>'12.lan'!D158</f>
        <v>Customers and other companies</v>
      </c>
      <c r="D59" s="94"/>
      <c r="E59" s="103"/>
      <c r="F59" s="95"/>
      <c r="G59" s="95"/>
      <c r="H59" s="74">
        <f>I59/J59</f>
        <v>0</v>
      </c>
      <c r="I59" s="75">
        <f>I60+I64+I68+I72</f>
        <v>0</v>
      </c>
      <c r="J59" s="75">
        <f>J60+J64+J68+J72</f>
        <v>205.12820512820511</v>
      </c>
    </row>
    <row r="60" spans="1:15" ht="33" customHeight="1">
      <c r="A60" s="13"/>
      <c r="B60" s="77" t="s">
        <v>64</v>
      </c>
      <c r="C60" s="78" t="str">
        <f>'12.lan'!D159</f>
        <v>Ethical customer relations</v>
      </c>
      <c r="D60" s="79">
        <f>IF(K60="trifft nicht zu",C106,'9. Weighting'!M37)</f>
        <v>1</v>
      </c>
      <c r="E60" s="96" t="str">
        <f>VLOOKUP(D60,$C$102:$D$106,2,FALSE)</f>
        <v>medium</v>
      </c>
      <c r="F60" s="92">
        <f>IF(K60="trifft nicht zu","trifft nicht zu",'9. Weighting'!M37)</f>
        <v>1</v>
      </c>
      <c r="G60" s="93"/>
      <c r="H60" s="82">
        <f>IF(J60&lt;&gt;0,ROUND(SUM(I61:I63)/J60,1),"-")</f>
        <v>0</v>
      </c>
      <c r="I60" s="83">
        <f>IF(J60=0,0,H60*J60)</f>
        <v>0</v>
      </c>
      <c r="J60" s="83">
        <f>'9. Weighting'!M36</f>
        <v>51.282051282051277</v>
      </c>
      <c r="K60" s="64" t="str">
        <f>IF(AND(D61="trifft nicht zu",D62="trifft nicht zu"),"trifft nicht zu","")</f>
        <v/>
      </c>
      <c r="L60" s="11">
        <f>VLOOKUP(O60,$C$102:$E$106,3,FALSE)</f>
        <v>1</v>
      </c>
      <c r="M60" s="11">
        <f>VLOOKUP(D60,$C$102:$E$106,3,FALSE)</f>
        <v>1</v>
      </c>
      <c r="N60" s="84" t="str">
        <f>IF(L60=M60,"",'12.lan'!$D$240&amp;VLOOKUP(L60,$C$102:$D$106,2,FALSE)&amp;" ("&amp;L60&amp;")")</f>
        <v/>
      </c>
      <c r="O60" s="11">
        <f>IF(K60="trifft nicht zu",C106,'9. Weighting'!M37)</f>
        <v>1</v>
      </c>
    </row>
    <row r="61" spans="1:15" ht="30" customHeight="1">
      <c r="A61" s="13"/>
      <c r="B61" s="85" t="s">
        <v>65</v>
      </c>
      <c r="C61" s="85" t="str">
        <f>'12.lan'!D160</f>
        <v>Respect for human dignity in communication with customers</v>
      </c>
      <c r="D61" s="86">
        <v>0.5</v>
      </c>
      <c r="E61" s="99" t="str">
        <f>VLOOKUP(D61,$C$102:$D$106,2,FALSE)</f>
        <v>low</v>
      </c>
      <c r="F61" s="88" t="str">
        <f>'12.lan'!$D$329</f>
        <v>Introduce value between 0 and 10</v>
      </c>
      <c r="G61" s="89"/>
      <c r="H61" s="90">
        <v>0</v>
      </c>
      <c r="I61" s="91">
        <f>IFERROR(J61*H61/10,0)</f>
        <v>0</v>
      </c>
      <c r="J61" s="91">
        <f>IFERROR($J$60*K61/(SUM($K$61:$K$62)),0)</f>
        <v>17.094017094017094</v>
      </c>
      <c r="K61" s="11">
        <f>VLOOKUP(D61,$C$102:$E$106,3,FALSE)</f>
        <v>0.5</v>
      </c>
      <c r="L61" s="11">
        <f>VLOOKUP(O61,$C$102:$E$106,3,FALSE)</f>
        <v>0.5</v>
      </c>
      <c r="M61" s="11">
        <f>VLOOKUP(D61,$C$102:$E$106,3,FALSE)</f>
        <v>0.5</v>
      </c>
      <c r="N61" s="84" t="str">
        <f>IF(L61=M61,"",'12.lan'!$D$240&amp;VLOOKUP(L61,$C$102:$D$106,2,FALSE)&amp;" ("&amp;L61&amp;")")</f>
        <v/>
      </c>
      <c r="O61" s="11">
        <f>C105</f>
        <v>0.5</v>
      </c>
    </row>
    <row r="62" spans="1:15" ht="30" customHeight="1">
      <c r="A62" s="13"/>
      <c r="B62" s="21" t="s">
        <v>66</v>
      </c>
      <c r="C62" s="30" t="str">
        <f>'12.lan'!D161</f>
        <v>Barrier-free access</v>
      </c>
      <c r="D62" s="86">
        <f>C104</f>
        <v>1</v>
      </c>
      <c r="E62" s="99" t="str">
        <f>VLOOKUP(D62,$C$102:$D$106,2,FALSE)</f>
        <v>medium</v>
      </c>
      <c r="F62" s="88" t="str">
        <f>'12.lan'!$D$329</f>
        <v>Introduce value between 0 and 10</v>
      </c>
      <c r="G62" s="89"/>
      <c r="H62" s="90">
        <v>0</v>
      </c>
      <c r="I62" s="91">
        <f>IFERROR(J62*H62/10,0)</f>
        <v>0</v>
      </c>
      <c r="J62" s="91">
        <f>IFERROR($J$60*K62/(SUM($K$61:$K$62)),0)</f>
        <v>34.188034188034187</v>
      </c>
      <c r="K62" s="11">
        <f>VLOOKUP(D62,$C$102:$E$106,3,FALSE)</f>
        <v>1</v>
      </c>
      <c r="L62" s="11">
        <f>VLOOKUP(O62,$C$102:$E$106,3,FALSE)</f>
        <v>1</v>
      </c>
      <c r="M62" s="11">
        <f>VLOOKUP(D62,$C$102:$E$106,3,FALSE)</f>
        <v>1</v>
      </c>
      <c r="N62" s="84" t="str">
        <f>IF(L62=M62,"",'12.lan'!$D$240&amp;VLOOKUP(L62,$C$102:$D$106,2,FALSE)&amp;" ("&amp;L62&amp;")")</f>
        <v/>
      </c>
      <c r="O62" s="11">
        <f>C104</f>
        <v>1</v>
      </c>
    </row>
    <row r="63" spans="1:15" ht="30" customHeight="1">
      <c r="A63" s="13"/>
      <c r="B63" s="30" t="s">
        <v>67</v>
      </c>
      <c r="C63" s="30" t="str">
        <f>'12.lan'!D162</f>
        <v>Negative aspect: unethical advertising</v>
      </c>
      <c r="D63" s="86"/>
      <c r="E63" s="99"/>
      <c r="F63" s="88" t="str">
        <f>'12.lan'!$D$330</f>
        <v>Introduce negative points between 0 and -200</v>
      </c>
      <c r="G63" s="89"/>
      <c r="H63" s="90">
        <v>0</v>
      </c>
      <c r="I63" s="91">
        <f>H63*J60/50</f>
        <v>0</v>
      </c>
      <c r="J63" s="91">
        <f>-200*J60/50</f>
        <v>-205.12820512820511</v>
      </c>
    </row>
    <row r="64" spans="1:15" ht="33" customHeight="1">
      <c r="A64" s="13"/>
      <c r="B64" s="77" t="s">
        <v>68</v>
      </c>
      <c r="C64" s="78" t="str">
        <f>'12.lan'!D163</f>
        <v>Cooperation and solidarity with other companies</v>
      </c>
      <c r="D64" s="79">
        <f>IF(K64="trifft nicht zu",C106,'9. Weighting'!N37)</f>
        <v>1</v>
      </c>
      <c r="E64" s="96" t="str">
        <f>VLOOKUP(D64,$C$102:$D$106,2,FALSE)</f>
        <v>medium</v>
      </c>
      <c r="F64" s="92">
        <f>IF(K64="trifft nicht zu","trifft nicht zu",'9. Weighting'!N37)</f>
        <v>1</v>
      </c>
      <c r="G64" s="93"/>
      <c r="H64" s="82">
        <f>IF(J64&lt;&gt;0,ROUND(SUM(I65:I67)/J64,1),"-")</f>
        <v>0</v>
      </c>
      <c r="I64" s="83">
        <f>IF(J64=0,0,H64*J64)</f>
        <v>0</v>
      </c>
      <c r="J64" s="83">
        <f>'9. Weighting'!N36</f>
        <v>51.282051282051277</v>
      </c>
      <c r="K64" s="64" t="str">
        <f>IF(AND(D65="trifft nicht zu",D66="trifft nicht zu"),"trifft nicht zu","")</f>
        <v/>
      </c>
      <c r="L64" s="11">
        <f>VLOOKUP(O64,$C$102:$E$106,3,FALSE)</f>
        <v>1</v>
      </c>
      <c r="M64" s="11">
        <f>VLOOKUP(D64,$C$102:$E$106,3,FALSE)</f>
        <v>1</v>
      </c>
      <c r="N64" s="84" t="str">
        <f>IF(L64=M64,"",'12.lan'!$D$240&amp;VLOOKUP(L64,$C$102:$D$106,2,FALSE)&amp;" ("&amp;L64&amp;")")</f>
        <v/>
      </c>
      <c r="O64" s="11">
        <f>IF(K64="trifft nicht zu",C106,'9. Weighting'!N37)</f>
        <v>1</v>
      </c>
    </row>
    <row r="65" spans="1:15" ht="30" customHeight="1">
      <c r="A65" s="13"/>
      <c r="B65" s="85" t="s">
        <v>69</v>
      </c>
      <c r="C65" s="85" t="str">
        <f>'12.lan'!D164</f>
        <v>Cooperation with other companies</v>
      </c>
      <c r="D65" s="86">
        <f>C104</f>
        <v>1</v>
      </c>
      <c r="E65" s="99" t="str">
        <f>VLOOKUP(D65,$C$102:$D$106,2,FALSE)</f>
        <v>medium</v>
      </c>
      <c r="F65" s="88" t="str">
        <f>'12.lan'!$D$329</f>
        <v>Introduce value between 0 and 10</v>
      </c>
      <c r="G65" s="89"/>
      <c r="H65" s="90">
        <v>0</v>
      </c>
      <c r="I65" s="91">
        <f>IFERROR(J65*H65/10,0)</f>
        <v>0</v>
      </c>
      <c r="J65" s="91">
        <f>IFERROR($J$64*K65/(SUM($K$65:$K$66)),0)</f>
        <v>25.641025641025639</v>
      </c>
      <c r="K65" s="11">
        <f>VLOOKUP(D65,$C$102:$E$106,3,FALSE)</f>
        <v>1</v>
      </c>
      <c r="L65" s="11">
        <f>VLOOKUP(O65,$C$102:$E$106,3,FALSE)</f>
        <v>1</v>
      </c>
      <c r="M65" s="11">
        <f>VLOOKUP(D65,$C$102:$E$106,3,FALSE)</f>
        <v>1</v>
      </c>
      <c r="N65" s="84" t="str">
        <f>IF(L65=M65,"",'12.lan'!$D$240&amp;VLOOKUP(L65,$C$102:$D$106,2,FALSE)&amp;" ("&amp;L65&amp;")")</f>
        <v/>
      </c>
      <c r="O65" s="11">
        <f>C104</f>
        <v>1</v>
      </c>
    </row>
    <row r="66" spans="1:15" ht="30" customHeight="1">
      <c r="A66" s="13"/>
      <c r="B66" s="30" t="s">
        <v>70</v>
      </c>
      <c r="C66" s="30" t="str">
        <f>'12.lan'!D165</f>
        <v>Solidarity with other companies</v>
      </c>
      <c r="D66" s="86">
        <f>C104</f>
        <v>1</v>
      </c>
      <c r="E66" s="99" t="str">
        <f>VLOOKUP(D66,$C$102:$D$106,2,FALSE)</f>
        <v>medium</v>
      </c>
      <c r="F66" s="88" t="str">
        <f>'12.lan'!$D$329</f>
        <v>Introduce value between 0 and 10</v>
      </c>
      <c r="G66" s="89"/>
      <c r="H66" s="90">
        <v>0</v>
      </c>
      <c r="I66" s="91">
        <f>IFERROR(J66*H66/10,0)</f>
        <v>0</v>
      </c>
      <c r="J66" s="91">
        <f>IFERROR($J$64*K66/(SUM($K$65:$K$66)),0)</f>
        <v>25.641025641025639</v>
      </c>
      <c r="K66" s="11">
        <f>VLOOKUP(D66,$C$102:$E$106,3,FALSE)</f>
        <v>1</v>
      </c>
      <c r="L66" s="11">
        <f>VLOOKUP(O66,$C$102:$E$106,3,FALSE)</f>
        <v>1</v>
      </c>
      <c r="M66" s="11">
        <f>VLOOKUP(D66,$C$102:$E$106,3,FALSE)</f>
        <v>1</v>
      </c>
      <c r="N66" s="84" t="str">
        <f>IF(L66=M66,"",'12.lan'!$D$240&amp;VLOOKUP(L66,$C$102:$D$106,2,FALSE)&amp;" ("&amp;L66&amp;")")</f>
        <v/>
      </c>
      <c r="O66" s="11">
        <f>C104</f>
        <v>1</v>
      </c>
    </row>
    <row r="67" spans="1:15" ht="33.75" customHeight="1">
      <c r="A67" s="13"/>
      <c r="B67" s="104" t="s">
        <v>71</v>
      </c>
      <c r="C67" s="104" t="str">
        <f>'12.lan'!D166</f>
        <v>Negative aspect: abuse of market power to the detriment of other companies</v>
      </c>
      <c r="D67" s="86"/>
      <c r="E67" s="99"/>
      <c r="F67" s="88" t="str">
        <f>'12.lan'!$D$330</f>
        <v>Introduce negative points between 0 and -200</v>
      </c>
      <c r="G67" s="108"/>
      <c r="H67" s="90">
        <v>0</v>
      </c>
      <c r="I67" s="91">
        <f>H67*J64/50</f>
        <v>0</v>
      </c>
      <c r="J67" s="91">
        <f>-200*J64/50</f>
        <v>-205.12820512820511</v>
      </c>
    </row>
    <row r="68" spans="1:15" ht="36" customHeight="1">
      <c r="A68" s="13"/>
      <c r="B68" s="77" t="s">
        <v>72</v>
      </c>
      <c r="C68" s="109" t="str">
        <f>'12.lan'!D167</f>
        <v>Impact on the environment of the use and disposal of products and services</v>
      </c>
      <c r="D68" s="79">
        <f>IF(K68="trifft nicht zu",C106,'9. Weighting'!O37)</f>
        <v>1</v>
      </c>
      <c r="E68" s="96" t="str">
        <f>VLOOKUP(D68,$C$102:$D$106,2,FALSE)</f>
        <v>medium</v>
      </c>
      <c r="F68" s="92">
        <f>IF(K68="trifft nicht zu","trifft nicht zu",'9. Weighting'!O37)</f>
        <v>1</v>
      </c>
      <c r="G68" s="110"/>
      <c r="H68" s="82">
        <f>IF(J68&lt;&gt;0,ROUND(SUM(I69:I71)/J68,1),"-")</f>
        <v>0</v>
      </c>
      <c r="I68" s="83">
        <f>IF(J68=0,0,H68*J68)</f>
        <v>0</v>
      </c>
      <c r="J68" s="83">
        <f>'9. Weighting'!O36</f>
        <v>51.282051282051277</v>
      </c>
      <c r="K68" s="64" t="str">
        <f>IF(AND(D69="trifft nicht zu",D70="trifft nicht zu"),"trifft nicht zu","")</f>
        <v/>
      </c>
      <c r="L68" s="11">
        <f>VLOOKUP(O68,$C$102:$E$106,3,FALSE)</f>
        <v>1</v>
      </c>
      <c r="M68" s="11">
        <f>VLOOKUP(D68,$C$102:$E$106,3,FALSE)</f>
        <v>1</v>
      </c>
      <c r="N68" s="84" t="str">
        <f>IF(L68=M68,"",'12.lan'!$D$240&amp;VLOOKUP(L68,$C$102:$D$106,2,FALSE)&amp;" ("&amp;L68&amp;")")</f>
        <v/>
      </c>
      <c r="O68" s="11">
        <f>IF(K68="trifft nicht zu",C106,'9. Weighting'!O37)</f>
        <v>1</v>
      </c>
    </row>
    <row r="69" spans="1:15" ht="33.75" customHeight="1">
      <c r="A69" s="13"/>
      <c r="B69" s="85" t="s">
        <v>73</v>
      </c>
      <c r="C69" s="85" t="str">
        <f>'12.lan'!D168</f>
        <v xml:space="preserve">Environmental cost-benefit ration of products and services (efficiency and consistency) </v>
      </c>
      <c r="D69" s="86">
        <f>C104</f>
        <v>1</v>
      </c>
      <c r="E69" s="99" t="str">
        <f>VLOOKUP(D69,$C$102:$D$106,2,FALSE)</f>
        <v>medium</v>
      </c>
      <c r="F69" s="88" t="str">
        <f>'12.lan'!$D$329</f>
        <v>Introduce value between 0 and 10</v>
      </c>
      <c r="G69" s="89"/>
      <c r="H69" s="90">
        <v>0</v>
      </c>
      <c r="I69" s="91">
        <f>IFERROR(J69*H69/10,0)</f>
        <v>0</v>
      </c>
      <c r="J69" s="91">
        <f>IFERROR($J$68*K69/(SUM($K$69:$K$70)),0)</f>
        <v>25.641025641025639</v>
      </c>
      <c r="K69" s="11">
        <f>VLOOKUP(D69,$C$102:$E$106,3,FALSE)</f>
        <v>1</v>
      </c>
      <c r="L69" s="11">
        <f>VLOOKUP(O69,$C$102:$E$106,3,FALSE)</f>
        <v>1</v>
      </c>
      <c r="M69" s="11">
        <f>VLOOKUP(D69,$C$102:$E$106,3,FALSE)</f>
        <v>1</v>
      </c>
      <c r="N69" s="84" t="str">
        <f>IF(L69=M69,"",'12.lan'!$D$240&amp;VLOOKUP(L69,$C$102:$D$106,2,FALSE)&amp;" ("&amp;L69&amp;")")</f>
        <v/>
      </c>
      <c r="O69" s="11">
        <f>C104</f>
        <v>1</v>
      </c>
    </row>
    <row r="70" spans="1:15" ht="30" customHeight="1">
      <c r="A70" s="13"/>
      <c r="B70" s="30" t="s">
        <v>74</v>
      </c>
      <c r="C70" s="30" t="str">
        <f>'12.lan'!D169</f>
        <v>Moderate use of products and services (sufficiency)</v>
      </c>
      <c r="D70" s="86">
        <f>C104</f>
        <v>1</v>
      </c>
      <c r="E70" s="99" t="str">
        <f>VLOOKUP(D70,$C$102:$D$106,2,FALSE)</f>
        <v>medium</v>
      </c>
      <c r="F70" s="88" t="str">
        <f>'12.lan'!$D$329</f>
        <v>Introduce value between 0 and 10</v>
      </c>
      <c r="G70" s="89"/>
      <c r="H70" s="90">
        <v>0</v>
      </c>
      <c r="I70" s="91">
        <f>IFERROR(J70*H70/10,0)</f>
        <v>0</v>
      </c>
      <c r="J70" s="91">
        <f>IFERROR($J$68*K70/(SUM($K$69:$K$70)),0)</f>
        <v>25.641025641025639</v>
      </c>
      <c r="K70" s="11">
        <f>VLOOKUP(D70,$C$102:$E$106,3,FALSE)</f>
        <v>1</v>
      </c>
      <c r="L70" s="11">
        <f>VLOOKUP(O70,$C$102:$E$106,3,FALSE)</f>
        <v>1</v>
      </c>
      <c r="M70" s="11">
        <f>VLOOKUP(D70,$C$102:$E$106,3,FALSE)</f>
        <v>1</v>
      </c>
      <c r="N70" s="84" t="str">
        <f>IF(L70=M70,"",'12.lan'!$D$240&amp;VLOOKUP(L70,$C$102:$D$106,2,FALSE)&amp;" ("&amp;L70&amp;")")</f>
        <v/>
      </c>
      <c r="O70" s="11">
        <f>C104</f>
        <v>1</v>
      </c>
    </row>
    <row r="71" spans="1:15" ht="33" customHeight="1">
      <c r="A71" s="13"/>
      <c r="B71" s="104" t="s">
        <v>75</v>
      </c>
      <c r="C71" s="104" t="str">
        <f>'12.lan'!D170</f>
        <v>Negative aspect: wilful disregard of disproportionate environmental impacts</v>
      </c>
      <c r="D71" s="86"/>
      <c r="E71" s="99"/>
      <c r="F71" s="88" t="str">
        <f>'12.lan'!$D$330</f>
        <v>Introduce negative points between 0 and -200</v>
      </c>
      <c r="G71" s="89"/>
      <c r="H71" s="90">
        <v>0</v>
      </c>
      <c r="I71" s="91">
        <f>H71*J68/50</f>
        <v>0</v>
      </c>
      <c r="J71" s="91">
        <f>-200*J68/50</f>
        <v>-205.12820512820511</v>
      </c>
    </row>
    <row r="72" spans="1:15" ht="33" customHeight="1">
      <c r="A72" s="13"/>
      <c r="B72" s="77" t="s">
        <v>76</v>
      </c>
      <c r="C72" s="78" t="str">
        <f>'12.lan'!D171</f>
        <v>Customer participation and product transparency</v>
      </c>
      <c r="D72" s="79">
        <f>IF(K72="trifft nicht zu",C106,'9. Weighting'!P37)</f>
        <v>1</v>
      </c>
      <c r="E72" s="96" t="str">
        <f>VLOOKUP(D72,$C$102:$D$106,2,FALSE)</f>
        <v>medium</v>
      </c>
      <c r="F72" s="92">
        <f>IF(K72="trifft nicht zu","trifft nicht zu",'9. Weighting'!P37)</f>
        <v>1</v>
      </c>
      <c r="G72" s="93"/>
      <c r="H72" s="82">
        <f>IF(J72&lt;&gt;0,ROUND(SUM(I73:I75)/J72,1),"-")</f>
        <v>0</v>
      </c>
      <c r="I72" s="83">
        <f>IF(J72=0,0,H72*J72)</f>
        <v>0</v>
      </c>
      <c r="J72" s="83">
        <f>'9. Weighting'!P36</f>
        <v>51.282051282051277</v>
      </c>
      <c r="K72" s="64" t="str">
        <f>IF(AND(D73="trifft nicht zu",D74="trifft nicht zu"),"trifft nicht zu","")</f>
        <v/>
      </c>
      <c r="L72" s="11">
        <f>VLOOKUP(O72,$C$102:$E$106,3,FALSE)</f>
        <v>1</v>
      </c>
      <c r="M72" s="11">
        <f>VLOOKUP(D72,$C$102:$E$106,3,FALSE)</f>
        <v>1</v>
      </c>
      <c r="N72" s="84" t="str">
        <f>IF(L72=M72,"",'12.lan'!$D$240&amp;VLOOKUP(L72,$C$102:$D$106,2,FALSE)&amp;" ("&amp;L72&amp;")")</f>
        <v/>
      </c>
      <c r="O72" s="11">
        <f>IF(K72="trifft nicht zu",C106,'9. Weighting'!P37)</f>
        <v>1</v>
      </c>
    </row>
    <row r="73" spans="1:15" ht="33.75" customHeight="1">
      <c r="A73" s="13"/>
      <c r="B73" s="85" t="s">
        <v>77</v>
      </c>
      <c r="C73" s="85" t="str">
        <f>'12.lan'!D172</f>
        <v>Customer participation, joint product development and market research</v>
      </c>
      <c r="D73" s="86">
        <f>C104</f>
        <v>1</v>
      </c>
      <c r="E73" s="99" t="str">
        <f>VLOOKUP(D73,$C$102:$D$106,2,FALSE)</f>
        <v>medium</v>
      </c>
      <c r="F73" s="88" t="str">
        <f>'12.lan'!$D$329</f>
        <v>Introduce value between 0 and 10</v>
      </c>
      <c r="G73" s="89"/>
      <c r="H73" s="90">
        <v>0</v>
      </c>
      <c r="I73" s="91">
        <f>IFERROR(J73*H73/10,0)</f>
        <v>0</v>
      </c>
      <c r="J73" s="91">
        <f>IFERROR($J$72*K73/(SUM($K$73:$K$74)),0)</f>
        <v>25.641025641025639</v>
      </c>
      <c r="K73" s="11">
        <f>VLOOKUP(D73,$C$102:$E$106,3,FALSE)</f>
        <v>1</v>
      </c>
      <c r="L73" s="11">
        <f>VLOOKUP(O73,$C$102:$E$106,3,FALSE)</f>
        <v>1</v>
      </c>
      <c r="M73" s="11">
        <f>VLOOKUP(D73,$C$102:$E$106,3,FALSE)</f>
        <v>1</v>
      </c>
      <c r="N73" s="84" t="str">
        <f>IF(L73=M73,"",'12.lan'!$D$240&amp;VLOOKUP(L73,$C$102:$D$106,2,FALSE)&amp;" ("&amp;L73&amp;")")</f>
        <v/>
      </c>
      <c r="O73" s="11">
        <f>C104</f>
        <v>1</v>
      </c>
    </row>
    <row r="74" spans="1:15" ht="30" customHeight="1">
      <c r="A74" s="13"/>
      <c r="B74" s="104" t="s">
        <v>78</v>
      </c>
      <c r="C74" s="104" t="str">
        <f>'12.lan'!D173</f>
        <v>Product transparency</v>
      </c>
      <c r="D74" s="86">
        <f>C104</f>
        <v>1</v>
      </c>
      <c r="E74" s="99" t="str">
        <f>VLOOKUP(D74,$C$102:$D$106,2,FALSE)</f>
        <v>medium</v>
      </c>
      <c r="F74" s="88" t="str">
        <f>'12.lan'!$D$329</f>
        <v>Introduce value between 0 and 10</v>
      </c>
      <c r="G74" s="89"/>
      <c r="H74" s="90">
        <v>0</v>
      </c>
      <c r="I74" s="91">
        <f>IFERROR(J74*H74/10,0)</f>
        <v>0</v>
      </c>
      <c r="J74" s="91">
        <f>IFERROR($J$72*K74/(SUM($K$73:$K$74)),0)</f>
        <v>25.641025641025639</v>
      </c>
      <c r="K74" s="11">
        <f>VLOOKUP(D74,$C$102:$E$106,3,FALSE)</f>
        <v>1</v>
      </c>
      <c r="L74" s="11">
        <f>VLOOKUP(O74,$C$102:$E$106,3,FALSE)</f>
        <v>1</v>
      </c>
      <c r="M74" s="11">
        <f>VLOOKUP(D74,$C$102:$E$106,3,FALSE)</f>
        <v>1</v>
      </c>
      <c r="N74" s="84" t="str">
        <f>IF(L74=M74,"",'12.lan'!$D$240&amp;VLOOKUP(L74,$C$102:$D$106,2,FALSE)&amp;" ("&amp;L74&amp;")")</f>
        <v/>
      </c>
      <c r="O74" s="11">
        <f>C104</f>
        <v>1</v>
      </c>
    </row>
    <row r="75" spans="1:15" ht="30" customHeight="1">
      <c r="A75" s="13"/>
      <c r="B75" s="104" t="s">
        <v>78</v>
      </c>
      <c r="C75" s="104" t="str">
        <f>'12.lan'!D174</f>
        <v>Negative aspect: non-disclosure of hazardous substances</v>
      </c>
      <c r="D75" s="86"/>
      <c r="E75" s="99"/>
      <c r="F75" s="88" t="str">
        <f>'12.lan'!$D$330</f>
        <v>Introduce negative points between 0 and -200</v>
      </c>
      <c r="G75" s="89"/>
      <c r="H75" s="90">
        <v>0</v>
      </c>
      <c r="I75" s="91">
        <f>H75*J72/50</f>
        <v>0</v>
      </c>
      <c r="J75" s="91">
        <f>-200*J72/50</f>
        <v>-205.12820512820511</v>
      </c>
    </row>
    <row r="76" spans="1:15" ht="36" customHeight="1">
      <c r="A76" s="13"/>
      <c r="B76" s="73" t="s">
        <v>79</v>
      </c>
      <c r="C76" s="73" t="str">
        <f>'12.lan'!D175</f>
        <v>Social environment</v>
      </c>
      <c r="D76" s="94"/>
      <c r="E76" s="103"/>
      <c r="F76" s="95"/>
      <c r="G76" s="95"/>
      <c r="H76" s="74">
        <f>I76/J76</f>
        <v>0</v>
      </c>
      <c r="I76" s="75">
        <f>I77+I81+I86+I90</f>
        <v>0</v>
      </c>
      <c r="J76" s="75">
        <f>J77+J81+J86+J90</f>
        <v>205.12820512820511</v>
      </c>
    </row>
    <row r="77" spans="1:15" ht="36" customHeight="1">
      <c r="A77" s="13"/>
      <c r="B77" s="77" t="s">
        <v>80</v>
      </c>
      <c r="C77" s="109" t="str">
        <f>'12.lan'!D176</f>
        <v>Purpose of products and services and their effects on society</v>
      </c>
      <c r="D77" s="79">
        <f>IF(K77="trifft nicht zu",C106,'9. Weighting'!M43)</f>
        <v>1</v>
      </c>
      <c r="E77" s="96" t="str">
        <f>VLOOKUP(D77,$C$102:$D$106,2,FALSE)</f>
        <v>medium</v>
      </c>
      <c r="F77" s="111">
        <f>IF(K77="trifft nicht zu","trifft nicht zu",'9. Weighting'!M43)</f>
        <v>1</v>
      </c>
      <c r="G77" s="112"/>
      <c r="H77" s="82">
        <f>IF(J77&lt;&gt;0,ROUND(SUM(I78:I80)/J77,1),"-")</f>
        <v>0</v>
      </c>
      <c r="I77" s="83">
        <f>IF(J77=0,0,H77*J77)</f>
        <v>0</v>
      </c>
      <c r="J77" s="83">
        <f>'9. Weighting'!M42</f>
        <v>51.282051282051277</v>
      </c>
      <c r="K77" s="64" t="str">
        <f>IF(AND(D78="trifft nicht zu",D79="trifft nicht zu"),"trifft nicht zu","")</f>
        <v/>
      </c>
      <c r="L77" s="11">
        <f>VLOOKUP(O77,$C$102:$E$106,3,FALSE)</f>
        <v>1</v>
      </c>
      <c r="M77" s="11">
        <f>VLOOKUP(D77,$C$102:$E$106,3,FALSE)</f>
        <v>1</v>
      </c>
      <c r="N77" s="84" t="str">
        <f>IF(L77=M77,"",'12.lan'!$D$240&amp;VLOOKUP(L77,$C$102:$D$106,2,FALSE)&amp;" ("&amp;L77&amp;")")</f>
        <v/>
      </c>
      <c r="O77" s="11">
        <f>IF(K77="trifft nicht zu",C106,'9. Weighting'!M43)</f>
        <v>1</v>
      </c>
    </row>
    <row r="78" spans="1:15" ht="34.5" customHeight="1">
      <c r="A78" s="13"/>
      <c r="B78" s="85" t="s">
        <v>81</v>
      </c>
      <c r="C78" s="85" t="str">
        <f>'12.lan'!D177</f>
        <v>Products and services should cover basic needs and contribute to a good life</v>
      </c>
      <c r="D78" s="86">
        <f>C104</f>
        <v>1</v>
      </c>
      <c r="E78" s="99" t="str">
        <f>VLOOKUP(D78,$C$102:$D$106,2,FALSE)</f>
        <v>medium</v>
      </c>
      <c r="F78" s="88" t="str">
        <f>'12.lan'!$D$329</f>
        <v>Introduce value between 0 and 10</v>
      </c>
      <c r="G78" s="89"/>
      <c r="H78" s="90">
        <v>0</v>
      </c>
      <c r="I78" s="91">
        <f>IFERROR(J78*H78/10,0)</f>
        <v>0</v>
      </c>
      <c r="J78" s="91">
        <f>IFERROR($J$77*K78/(SUM($K$78:$K$79)),0)</f>
        <v>25.641025641025639</v>
      </c>
      <c r="K78" s="11">
        <f>VLOOKUP(D78,$C$102:$E$106,3,FALSE)</f>
        <v>1</v>
      </c>
      <c r="L78" s="11">
        <f>VLOOKUP(O78,$C$102:$E$106,3,FALSE)</f>
        <v>1</v>
      </c>
      <c r="M78" s="11">
        <f>VLOOKUP(D78,$C$102:$E$106,3,FALSE)</f>
        <v>1</v>
      </c>
      <c r="N78" s="84" t="str">
        <f>IF(L78=M78,"",'12.lan'!$D$240&amp;VLOOKUP(L78,$C$102:$D$106,2,FALSE)&amp;" ("&amp;L78&amp;")")</f>
        <v/>
      </c>
      <c r="O78" s="11">
        <f>C104</f>
        <v>1</v>
      </c>
    </row>
    <row r="79" spans="1:15" ht="30" customHeight="1">
      <c r="A79" s="13"/>
      <c r="B79" s="104" t="s">
        <v>82</v>
      </c>
      <c r="C79" s="104" t="str">
        <f>'12.lan'!D178</f>
        <v>Social impact of products and services</v>
      </c>
      <c r="D79" s="86">
        <f>C104</f>
        <v>1</v>
      </c>
      <c r="E79" s="99" t="str">
        <f>VLOOKUP(D79,$C$102:$D$106,2,FALSE)</f>
        <v>medium</v>
      </c>
      <c r="F79" s="88" t="str">
        <f>'12.lan'!$D$329</f>
        <v>Introduce value between 0 and 10</v>
      </c>
      <c r="G79" s="89"/>
      <c r="H79" s="90">
        <v>0</v>
      </c>
      <c r="I79" s="91">
        <f>IFERROR(J79*H79/10,0)</f>
        <v>0</v>
      </c>
      <c r="J79" s="91">
        <f>IFERROR($J$77*K79/(SUM($K$78:$K$79)),0)</f>
        <v>25.641025641025639</v>
      </c>
      <c r="K79" s="11">
        <f>VLOOKUP(D79,$C$102:$E$106,3,FALSE)</f>
        <v>1</v>
      </c>
      <c r="L79" s="11">
        <f>VLOOKUP(O79,$C$102:$E$106,3,FALSE)</f>
        <v>1</v>
      </c>
      <c r="M79" s="11">
        <f>VLOOKUP(D79,$C$102:$E$106,3,FALSE)</f>
        <v>1</v>
      </c>
      <c r="N79" s="84" t="str">
        <f>IF(L79=M79,"",'12.lan'!$D$240&amp;VLOOKUP(L79,$C$102:$D$106,2,FALSE)&amp;" ("&amp;L79&amp;")")</f>
        <v/>
      </c>
      <c r="O79" s="11">
        <f>C104</f>
        <v>1</v>
      </c>
    </row>
    <row r="80" spans="1:15" ht="30" customHeight="1">
      <c r="A80" s="13"/>
      <c r="B80" s="104" t="s">
        <v>83</v>
      </c>
      <c r="C80" s="104" t="str">
        <f>'12.lan'!D179</f>
        <v>Negative aspect: unethical and unfit products and services</v>
      </c>
      <c r="D80" s="86"/>
      <c r="E80" s="99"/>
      <c r="F80" s="88" t="str">
        <f>'12.lan'!$D$330</f>
        <v>Introduce negative points between 0 and -200</v>
      </c>
      <c r="G80" s="89"/>
      <c r="H80" s="90">
        <v>0</v>
      </c>
      <c r="I80" s="91">
        <f>H80*J77/50</f>
        <v>0</v>
      </c>
      <c r="J80" s="91">
        <f>-200*J77/50</f>
        <v>-205.12820512820511</v>
      </c>
    </row>
    <row r="81" spans="1:15" ht="33" customHeight="1">
      <c r="A81" s="13"/>
      <c r="B81" s="77" t="s">
        <v>84</v>
      </c>
      <c r="C81" s="109" t="str">
        <f>'12.lan'!D180</f>
        <v>Contribution to the community</v>
      </c>
      <c r="D81" s="79">
        <f>IF(K81="trifft nicht zu",C106,'9. Weighting'!N43)</f>
        <v>1</v>
      </c>
      <c r="E81" s="96" t="str">
        <f>VLOOKUP(D81,$C$102:$D$106,2,FALSE)</f>
        <v>medium</v>
      </c>
      <c r="F81" s="111">
        <f>IF(K81="trifft nicht zu","trifft nicht zu",'9. Weighting'!N43)</f>
        <v>1</v>
      </c>
      <c r="G81" s="112"/>
      <c r="H81" s="82">
        <f>IF(J81&lt;&gt;0,ROUND(SUM(I82:I85)/J81,1),"-")</f>
        <v>0</v>
      </c>
      <c r="I81" s="83">
        <f>IF(J81=0,0,H81*J81)</f>
        <v>0</v>
      </c>
      <c r="J81" s="83">
        <f>'9. Weighting'!N42</f>
        <v>51.282051282051277</v>
      </c>
      <c r="K81" s="64" t="str">
        <f>IF(AND(D82="trifft nicht zu",D83="trifft nicht zu"),"trifft nicht zu","")</f>
        <v/>
      </c>
      <c r="L81" s="11">
        <f>VLOOKUP(O81,$C$102:$E$106,3,FALSE)</f>
        <v>1</v>
      </c>
      <c r="M81" s="11">
        <f>VLOOKUP(D81,$C$102:$E$106,3,FALSE)</f>
        <v>1</v>
      </c>
      <c r="N81" s="84" t="str">
        <f>IF(L81=M81,"",'12.lan'!$D$240&amp;VLOOKUP(L81,$C$102:$D$106,2,FALSE)&amp;" ("&amp;L81&amp;")")</f>
        <v/>
      </c>
      <c r="O81" s="11">
        <f>IF(K81="trifft nicht zu",C106,'9. Weighting'!N43)</f>
        <v>1</v>
      </c>
    </row>
    <row r="82" spans="1:15" ht="30" customHeight="1">
      <c r="A82" s="13"/>
      <c r="B82" s="98" t="s">
        <v>85</v>
      </c>
      <c r="C82" s="98" t="str">
        <f>'12.lan'!D181</f>
        <v>Taxes and social security contributions</v>
      </c>
      <c r="D82" s="86">
        <f>C104</f>
        <v>1</v>
      </c>
      <c r="E82" s="99" t="str">
        <f>VLOOKUP(D82,$C$102:$D$106,2,FALSE)</f>
        <v>medium</v>
      </c>
      <c r="F82" s="88" t="str">
        <f>'12.lan'!$D$329</f>
        <v>Introduce value between 0 and 10</v>
      </c>
      <c r="G82" s="89"/>
      <c r="H82" s="90">
        <v>0</v>
      </c>
      <c r="I82" s="91">
        <f>IFERROR(J82*H82/10,0)</f>
        <v>0</v>
      </c>
      <c r="J82" s="91">
        <f>IFERROR($J$81*K82/SUM($K$82:$K$83),0)</f>
        <v>25.641025641025639</v>
      </c>
      <c r="K82" s="11">
        <f>VLOOKUP(D82,$C$102:$E$106,3,FALSE)</f>
        <v>1</v>
      </c>
      <c r="L82" s="11">
        <f>VLOOKUP(O82,$C$102:$E$106,3,FALSE)</f>
        <v>1</v>
      </c>
      <c r="M82" s="11">
        <f>VLOOKUP(D82,$C$102:$E$106,3,FALSE)</f>
        <v>1</v>
      </c>
      <c r="N82" s="84" t="str">
        <f>IF(L82=M82,"",'12.lan'!$D$240&amp;VLOOKUP(L82,$C$102:$D$106,2,FALSE)&amp;" ("&amp;L82&amp;")")</f>
        <v/>
      </c>
      <c r="O82" s="11">
        <f>C104</f>
        <v>1</v>
      </c>
    </row>
    <row r="83" spans="1:15" ht="30" customHeight="1">
      <c r="A83" s="13"/>
      <c r="B83" s="21" t="s">
        <v>86</v>
      </c>
      <c r="C83" s="21" t="str">
        <f>'12.lan'!D182</f>
        <v>Voluntary contributions that strengthen society</v>
      </c>
      <c r="D83" s="86">
        <f>C104</f>
        <v>1</v>
      </c>
      <c r="E83" s="99" t="str">
        <f>VLOOKUP(D83,$C$102:$D$106,2,FALSE)</f>
        <v>medium</v>
      </c>
      <c r="F83" s="88" t="str">
        <f>'12.lan'!$D$329</f>
        <v>Introduce value between 0 and 10</v>
      </c>
      <c r="G83" s="89"/>
      <c r="H83" s="90">
        <v>0</v>
      </c>
      <c r="I83" s="91">
        <f>IFERROR(J83*H83/10,0)</f>
        <v>0</v>
      </c>
      <c r="J83" s="91">
        <f>IFERROR($J$81*K83/SUM($K$82:$K$83),0)</f>
        <v>25.641025641025639</v>
      </c>
      <c r="K83" s="11">
        <f>VLOOKUP(D83,$C$102:$E$106,3,FALSE)</f>
        <v>1</v>
      </c>
      <c r="L83" s="11">
        <f>VLOOKUP(O83,$C$102:$E$106,3,FALSE)</f>
        <v>1</v>
      </c>
      <c r="M83" s="11">
        <f>VLOOKUP(D83,$C$102:$E$106,3,FALSE)</f>
        <v>1</v>
      </c>
      <c r="N83" s="84" t="str">
        <f>IF(L83=M83,"",'12.lan'!$D$240&amp;VLOOKUP(L83,$C$102:$D$106,2,FALSE)&amp;" ("&amp;L83&amp;")")</f>
        <v/>
      </c>
      <c r="O83" s="11">
        <f>C104</f>
        <v>1</v>
      </c>
    </row>
    <row r="84" spans="1:15" ht="30" customHeight="1">
      <c r="A84" s="13"/>
      <c r="B84" s="105" t="s">
        <v>87</v>
      </c>
      <c r="C84" s="105" t="str">
        <f>'12.lan'!D183</f>
        <v>Negative aspect: inappropriate non-payment of tax</v>
      </c>
      <c r="D84" s="86"/>
      <c r="E84" s="99"/>
      <c r="F84" s="88" t="str">
        <f>'12.lan'!$D$330</f>
        <v>Introduce negative points between 0 and -200</v>
      </c>
      <c r="G84" s="89"/>
      <c r="H84" s="90">
        <v>0</v>
      </c>
      <c r="I84" s="91">
        <f>H84*J81/50</f>
        <v>0</v>
      </c>
      <c r="J84" s="91">
        <f>-200*J81/50</f>
        <v>-205.12820512820511</v>
      </c>
    </row>
    <row r="85" spans="1:15" ht="30" customHeight="1">
      <c r="A85" s="13"/>
      <c r="B85" s="105" t="s">
        <v>88</v>
      </c>
      <c r="C85" s="105" t="str">
        <f>'12.lan'!D184</f>
        <v>Negative aspect: no anti-corruption policy</v>
      </c>
      <c r="D85" s="86"/>
      <c r="E85" s="99"/>
      <c r="F85" s="88" t="str">
        <f>'12.lan'!$D$330</f>
        <v>Introduce negative points between 0 and -200</v>
      </c>
      <c r="G85" s="89"/>
      <c r="H85" s="90">
        <v>0</v>
      </c>
      <c r="I85" s="91">
        <f>H85*J81/50</f>
        <v>0</v>
      </c>
      <c r="J85" s="91">
        <f>-200*J81/50</f>
        <v>-205.12820512820511</v>
      </c>
    </row>
    <row r="86" spans="1:15" ht="33" customHeight="1">
      <c r="A86" s="13"/>
      <c r="B86" s="77" t="s">
        <v>89</v>
      </c>
      <c r="C86" s="78" t="str">
        <f>'12.lan'!D185</f>
        <v>Reduction of environmental impact</v>
      </c>
      <c r="D86" s="79">
        <f>IF(K86="trifft nicht zu",C106,'9. Weighting'!O43)</f>
        <v>1</v>
      </c>
      <c r="E86" s="96" t="str">
        <f>VLOOKUP(D86,$C$102:$D$106,2,FALSE)</f>
        <v>medium</v>
      </c>
      <c r="F86" s="93"/>
      <c r="G86" s="93"/>
      <c r="H86" s="82">
        <f>IF(J86&lt;&gt;0,ROUND(SUM(I87:I89)/J86,1),"-")</f>
        <v>0</v>
      </c>
      <c r="I86" s="83">
        <f>IF(J86=0,0,H86*J86)</f>
        <v>0</v>
      </c>
      <c r="J86" s="83">
        <f>'9. Weighting'!O42</f>
        <v>51.282051282051277</v>
      </c>
      <c r="K86" s="64" t="str">
        <f>IF(AND(D87="trifft nicht zu",D88="trifft nicht zu"),"trifft nicht zu","")</f>
        <v/>
      </c>
      <c r="L86" s="11">
        <f>VLOOKUP(O86,$C$102:$E$106,3,FALSE)</f>
        <v>1</v>
      </c>
      <c r="M86" s="11">
        <f>VLOOKUP(D86,$C$102:$E$106,3,FALSE)</f>
        <v>1</v>
      </c>
      <c r="N86" s="84" t="str">
        <f>IF(L86=M86,"",'12.lan'!$D$240&amp;VLOOKUP(L86,$C$102:$D$106,2,FALSE)&amp;" ("&amp;L86&amp;")")</f>
        <v/>
      </c>
      <c r="O86" s="11">
        <f>IF(K86="trifft nicht zu",C106,'9. Weighting'!O43)</f>
        <v>1</v>
      </c>
    </row>
    <row r="87" spans="1:15" ht="30" customHeight="1">
      <c r="A87" s="13"/>
      <c r="B87" s="98" t="s">
        <v>90</v>
      </c>
      <c r="C87" s="85" t="str">
        <f>'12.lan'!D186</f>
        <v>Absolute impact and management strategy</v>
      </c>
      <c r="D87" s="86">
        <f>C104</f>
        <v>1</v>
      </c>
      <c r="E87" s="99" t="str">
        <f>VLOOKUP(D87,$C$102:$D$106,2,FALSE)</f>
        <v>medium</v>
      </c>
      <c r="F87" s="88" t="str">
        <f>'12.lan'!$D$329</f>
        <v>Introduce value between 0 and 10</v>
      </c>
      <c r="G87" s="89"/>
      <c r="H87" s="90">
        <v>0</v>
      </c>
      <c r="I87" s="91">
        <f>IFERROR(J87*H87/10,0)</f>
        <v>0</v>
      </c>
      <c r="J87" s="91">
        <f>IFERROR(J86*K87/SUM($K$87:$K$88),0)</f>
        <v>25.641025641025639</v>
      </c>
      <c r="K87" s="11">
        <f>VLOOKUP(D87,$C$102:$E$106,3,FALSE)</f>
        <v>1</v>
      </c>
      <c r="L87" s="11">
        <f>VLOOKUP(O87,$C$102:$E$106,3,FALSE)</f>
        <v>1</v>
      </c>
      <c r="M87" s="11">
        <f>VLOOKUP(D87,$C$102:$E$106,3,FALSE)</f>
        <v>1</v>
      </c>
      <c r="N87" s="84" t="str">
        <f>IF(L87=M87,"",'12.lan'!$D$240&amp;VLOOKUP(L87,$C$102:$D$106,2,FALSE)&amp;" ("&amp;L87&amp;")")</f>
        <v/>
      </c>
      <c r="O87" s="11">
        <f>C104</f>
        <v>1</v>
      </c>
    </row>
    <row r="88" spans="1:15" ht="30" customHeight="1">
      <c r="A88" s="13"/>
      <c r="B88" s="21" t="s">
        <v>91</v>
      </c>
      <c r="C88" s="30" t="str">
        <f>'12.lan'!D187</f>
        <v>Relative impact</v>
      </c>
      <c r="D88" s="86">
        <f>C104</f>
        <v>1</v>
      </c>
      <c r="E88" s="99" t="str">
        <f>VLOOKUP(D88,$C$102:$D$106,2,FALSE)</f>
        <v>medium</v>
      </c>
      <c r="F88" s="88" t="str">
        <f>'12.lan'!$D$329</f>
        <v>Introduce value between 0 and 10</v>
      </c>
      <c r="G88" s="89"/>
      <c r="H88" s="90">
        <v>0</v>
      </c>
      <c r="I88" s="91">
        <f>IFERROR(J88*H88/10,0)</f>
        <v>0</v>
      </c>
      <c r="J88" s="91">
        <f>IFERROR(J86*K88/SUM($K$87:$K$88),0)</f>
        <v>25.641025641025639</v>
      </c>
      <c r="K88" s="11">
        <f>VLOOKUP(D88,$C$102:$E$106,3,FALSE)</f>
        <v>1</v>
      </c>
      <c r="L88" s="11">
        <f>VLOOKUP(O88,$C$102:$E$106,3,FALSE)</f>
        <v>1</v>
      </c>
      <c r="M88" s="11">
        <f>VLOOKUP(D88,$C$102:$E$106,3,FALSE)</f>
        <v>1</v>
      </c>
      <c r="N88" s="84" t="str">
        <f>IF(L88=M88,"",'12.lan'!$D$240&amp;VLOOKUP(L88,$C$102:$D$106,2,FALSE)&amp;" ("&amp;L88&amp;")")</f>
        <v/>
      </c>
      <c r="O88" s="11">
        <f>C104</f>
        <v>1</v>
      </c>
    </row>
    <row r="89" spans="1:15" ht="33" customHeight="1">
      <c r="A89" s="13"/>
      <c r="B89" s="105" t="s">
        <v>92</v>
      </c>
      <c r="C89" s="104" t="str">
        <f>'12.lan'!D188</f>
        <v>Negative aspect: infringement of environmental regulations and disproportionate environmental pollution</v>
      </c>
      <c r="D89" s="86"/>
      <c r="E89" s="99"/>
      <c r="F89" s="88" t="str">
        <f>'12.lan'!$D$330</f>
        <v>Introduce negative points between 0 and -200</v>
      </c>
      <c r="G89" s="89"/>
      <c r="H89" s="90">
        <v>0</v>
      </c>
      <c r="I89" s="91">
        <f>H89*J86/50</f>
        <v>0</v>
      </c>
      <c r="J89" s="91">
        <f>-200*J86/50</f>
        <v>-205.12820512820511</v>
      </c>
    </row>
    <row r="90" spans="1:15" ht="33" customHeight="1">
      <c r="A90" s="13"/>
      <c r="B90" s="77" t="s">
        <v>93</v>
      </c>
      <c r="C90" s="78" t="str">
        <f>'12.lan'!D189</f>
        <v>Social co-determination and transparency</v>
      </c>
      <c r="D90" s="79">
        <f>IF(K90="trifft nicht zu",C106,'9. Weighting'!P43)</f>
        <v>1</v>
      </c>
      <c r="E90" s="96" t="str">
        <f>VLOOKUP(D90,$C$102:$D$106,2,FALSE)</f>
        <v>medium</v>
      </c>
      <c r="F90" s="93"/>
      <c r="G90" s="93"/>
      <c r="H90" s="82">
        <f>IF(J90&lt;&gt;0,ROUND(SUM(I91:I93)/J90,1),"-")</f>
        <v>0</v>
      </c>
      <c r="I90" s="83">
        <f>IF(J90=0,0,H90*J90)</f>
        <v>0</v>
      </c>
      <c r="J90" s="83">
        <f>'9. Weighting'!P42</f>
        <v>51.282051282051277</v>
      </c>
      <c r="K90" s="64" t="str">
        <f>IF(AND(D91="trifft nicht zu",D92="trifft nicht zu"),"trifft nicht zu","")</f>
        <v/>
      </c>
      <c r="L90" s="11">
        <f>VLOOKUP(O90,$C$102:$E$106,3,FALSE)</f>
        <v>1</v>
      </c>
      <c r="M90" s="11">
        <f>VLOOKUP(D90,$C$102:$E$106,3,FALSE)</f>
        <v>1</v>
      </c>
      <c r="N90" s="84" t="str">
        <f>IF(L90=M90,"",'12.lan'!$D$240&amp;VLOOKUP(L90,$C$102:$D$106,2,FALSE)&amp;" ("&amp;L90&amp;")")</f>
        <v/>
      </c>
      <c r="O90" s="11">
        <f>IF(K90="trifft nicht zu",C106,'9. Weighting'!P43)</f>
        <v>1</v>
      </c>
    </row>
    <row r="91" spans="1:15" ht="30" customHeight="1">
      <c r="A91" s="13"/>
      <c r="B91" s="98" t="s">
        <v>94</v>
      </c>
      <c r="C91" s="85" t="str">
        <f>'12.lan'!D190</f>
        <v>Transparency</v>
      </c>
      <c r="D91" s="86">
        <v>1</v>
      </c>
      <c r="E91" s="99" t="str">
        <f>VLOOKUP(D91,$C$102:$D$106,2,FALSE)</f>
        <v>medium</v>
      </c>
      <c r="F91" s="88" t="str">
        <f>'12.lan'!$D$329</f>
        <v>Introduce value between 0 and 10</v>
      </c>
      <c r="G91" s="89"/>
      <c r="H91" s="90">
        <v>0</v>
      </c>
      <c r="I91" s="91">
        <f>IFERROR(J91*H91/10,0)</f>
        <v>0</v>
      </c>
      <c r="J91" s="91">
        <f>IFERROR($J$90*K91/SUM($K$91:$K$92),0)</f>
        <v>25.641025641025639</v>
      </c>
      <c r="K91" s="11">
        <f>VLOOKUP(D91,$C$102:$E$106,3,FALSE)</f>
        <v>1</v>
      </c>
      <c r="L91" s="11">
        <f>VLOOKUP(O91,$C$102:$E$106,3,FALSE)</f>
        <v>1</v>
      </c>
      <c r="M91" s="11">
        <f>VLOOKUP(D91,$C$102:$E$106,3,FALSE)</f>
        <v>1</v>
      </c>
      <c r="N91" s="84" t="str">
        <f>IF(L91=M91,"",'12.lan'!$D$240&amp;VLOOKUP(L91,$C$102:$D$106,2,FALSE)&amp;" ("&amp;L91&amp;")")</f>
        <v/>
      </c>
      <c r="O91" s="11">
        <f>C104</f>
        <v>1</v>
      </c>
    </row>
    <row r="92" spans="1:15" ht="30" customHeight="1">
      <c r="A92" s="13"/>
      <c r="B92" s="98" t="s">
        <v>95</v>
      </c>
      <c r="C92" s="85" t="str">
        <f>'12.lan'!D191</f>
        <v>Social participation</v>
      </c>
      <c r="D92" s="86">
        <f>C104</f>
        <v>1</v>
      </c>
      <c r="E92" s="99" t="str">
        <f>VLOOKUP(D92,$C$102:$D$106,2,FALSE)</f>
        <v>medium</v>
      </c>
      <c r="F92" s="88" t="str">
        <f>'12.lan'!$D$329</f>
        <v>Introduce value between 0 and 10</v>
      </c>
      <c r="G92" s="89"/>
      <c r="H92" s="90">
        <v>0</v>
      </c>
      <c r="I92" s="91">
        <f>IFERROR(J92*H92/10,0)</f>
        <v>0</v>
      </c>
      <c r="J92" s="91">
        <f>IFERROR($J$90*K92/SUM($K$91:$K$92),0)</f>
        <v>25.641025641025639</v>
      </c>
      <c r="K92" s="11">
        <f>VLOOKUP(D92,$C$102:$E$106,3,FALSE)</f>
        <v>1</v>
      </c>
      <c r="L92" s="11">
        <f>VLOOKUP(O92,$C$102:$E$106,3,FALSE)</f>
        <v>1</v>
      </c>
      <c r="M92" s="11">
        <f>VLOOKUP(D92,$C$102:$E$106,3,FALSE)</f>
        <v>1</v>
      </c>
      <c r="N92" s="84" t="str">
        <f>IF(L92=M92,"",'12.lan'!$D$240&amp;VLOOKUP(L92,$C$102:$D$106,2,FALSE)&amp;" ("&amp;L92&amp;")")</f>
        <v/>
      </c>
      <c r="O92" s="11">
        <f>C104</f>
        <v>1</v>
      </c>
    </row>
    <row r="93" spans="1:15" ht="33.75" customHeight="1">
      <c r="A93" s="13"/>
      <c r="B93" s="98" t="s">
        <v>96</v>
      </c>
      <c r="C93" s="85" t="str">
        <f>'12.lan'!D192</f>
        <v>Negative aspect: lack of transparency and wilful misinformation</v>
      </c>
      <c r="D93" s="86"/>
      <c r="E93" s="99"/>
      <c r="F93" s="88" t="str">
        <f>'12.lan'!$D$330</f>
        <v>Introduce negative points between 0 and -200</v>
      </c>
      <c r="G93" s="89"/>
      <c r="H93" s="90">
        <v>0</v>
      </c>
      <c r="I93" s="91">
        <f>H93*J90/50</f>
        <v>0</v>
      </c>
      <c r="J93" s="91">
        <f>-200*J90/50</f>
        <v>-205.12820512820511</v>
      </c>
    </row>
    <row r="94" spans="1:15" ht="12.75" customHeight="1">
      <c r="A94" s="13"/>
      <c r="B94" s="14"/>
      <c r="C94" s="22"/>
      <c r="D94" s="56"/>
      <c r="E94" s="56"/>
      <c r="F94" s="14"/>
      <c r="G94" s="14"/>
      <c r="H94" s="56"/>
      <c r="I94" s="57"/>
      <c r="J94" s="58"/>
    </row>
    <row r="95" spans="1:15" ht="18.75" customHeight="1">
      <c r="A95" s="13"/>
      <c r="B95" s="561" t="str">
        <f>'12.lan'!D92</f>
        <v>Total Balance Score:</v>
      </c>
      <c r="C95" s="561"/>
      <c r="D95" s="561"/>
      <c r="E95" s="561"/>
      <c r="F95" s="561"/>
      <c r="G95" s="561"/>
      <c r="H95" s="562">
        <f>H4</f>
        <v>0</v>
      </c>
      <c r="I95" s="563">
        <f>I4</f>
        <v>0</v>
      </c>
      <c r="J95" s="563">
        <f>J4</f>
        <v>1000</v>
      </c>
    </row>
    <row r="96" spans="1:15" ht="18" customHeight="1">
      <c r="A96" s="13"/>
      <c r="B96" s="561"/>
      <c r="C96" s="561"/>
      <c r="D96" s="561"/>
      <c r="E96" s="561"/>
      <c r="F96" s="561"/>
      <c r="G96" s="561"/>
      <c r="H96" s="562"/>
      <c r="I96" s="563"/>
      <c r="J96" s="563"/>
    </row>
    <row r="102" spans="2:5" ht="12.75" hidden="1" customHeight="1">
      <c r="B102" s="51">
        <v>2</v>
      </c>
      <c r="C102" s="52">
        <v>2</v>
      </c>
      <c r="D102" s="53" t="str">
        <f>'12.lan'!D97</f>
        <v>very high</v>
      </c>
      <c r="E102" s="54">
        <v>2</v>
      </c>
    </row>
    <row r="103" spans="2:5" ht="12.75" hidden="1" customHeight="1">
      <c r="B103" s="51">
        <v>1.5</v>
      </c>
      <c r="C103" s="52">
        <v>1.5</v>
      </c>
      <c r="D103" s="53" t="str">
        <f>'12.lan'!D98</f>
        <v>high</v>
      </c>
      <c r="E103" s="113">
        <v>1.5</v>
      </c>
    </row>
    <row r="104" spans="2:5" ht="12.75" hidden="1" customHeight="1">
      <c r="B104" s="51">
        <v>1</v>
      </c>
      <c r="C104" s="52">
        <v>1</v>
      </c>
      <c r="D104" s="53" t="str">
        <f>'12.lan'!D99</f>
        <v>medium</v>
      </c>
      <c r="E104" s="54">
        <v>1</v>
      </c>
    </row>
    <row r="105" spans="2:5" ht="12.75" hidden="1" customHeight="1">
      <c r="B105" s="51">
        <v>0.5</v>
      </c>
      <c r="C105" s="52">
        <v>0.5</v>
      </c>
      <c r="D105" s="53" t="str">
        <f>'12.lan'!D100</f>
        <v>low</v>
      </c>
      <c r="E105" s="113">
        <v>0.5</v>
      </c>
    </row>
    <row r="106" spans="2:5" ht="12.75" hidden="1" customHeight="1">
      <c r="B106" s="51">
        <v>0</v>
      </c>
      <c r="C106" s="52">
        <v>0</v>
      </c>
      <c r="D106" s="53" t="str">
        <f>'12.lan'!D101</f>
        <v>not applicable</v>
      </c>
      <c r="E106" s="54">
        <v>0</v>
      </c>
    </row>
    <row r="107" spans="2:5" ht="12.75" hidden="1" customHeight="1"/>
  </sheetData>
  <sheetProtection algorithmName="SHA-512" hashValue="9PeKo9g1PkD8o+SzImAc35D/f+Nho+FbjnVgeXpRf2/TiCI/MGPYPtHUhHpt8JbHd8j1Fp941zQfhuBqjzrzhA==" saltValue="b9wnapXnyvS3UDVs7nElng==" spinCount="100000" sheet="1" selectLockedCells="1"/>
  <mergeCells count="15">
    <mergeCell ref="B2:C2"/>
    <mergeCell ref="H2:J3"/>
    <mergeCell ref="B3:D4"/>
    <mergeCell ref="F4:F5"/>
    <mergeCell ref="H4:H5"/>
    <mergeCell ref="I4:I5"/>
    <mergeCell ref="J4:J5"/>
    <mergeCell ref="B5:D5"/>
    <mergeCell ref="B7:J7"/>
    <mergeCell ref="D8:E8"/>
    <mergeCell ref="C9:G9"/>
    <mergeCell ref="B95:G96"/>
    <mergeCell ref="H95:H96"/>
    <mergeCell ref="I95:I96"/>
    <mergeCell ref="J95:J96"/>
  </mergeCells>
  <conditionalFormatting sqref="H4:H5">
    <cfRule type="cellIs" dxfId="25" priority="8" operator="lessThan">
      <formula>0</formula>
    </cfRule>
  </conditionalFormatting>
  <conditionalFormatting sqref="H9">
    <cfRule type="cellIs" dxfId="24" priority="7" operator="lessThan">
      <formula>0</formula>
    </cfRule>
  </conditionalFormatting>
  <conditionalFormatting sqref="H10">
    <cfRule type="cellIs" dxfId="23" priority="6" operator="lessThan">
      <formula>0</formula>
    </cfRule>
  </conditionalFormatting>
  <conditionalFormatting sqref="H13">
    <cfRule type="cellIs" dxfId="22" priority="5" operator="lessThan">
      <formula>0</formula>
    </cfRule>
  </conditionalFormatting>
  <conditionalFormatting sqref="H17">
    <cfRule type="cellIs" dxfId="21" priority="4" operator="lessThan">
      <formula>0</formula>
    </cfRule>
  </conditionalFormatting>
  <conditionalFormatting sqref="H20">
    <cfRule type="cellIs" dxfId="20" priority="3" operator="lessThan">
      <formula>0</formula>
    </cfRule>
  </conditionalFormatting>
  <conditionalFormatting sqref="H23:H24 H28 H31 H35 H38:H39 H44 H49 H54 H59:H60 H64 H68 H72 H76:H77 H81 H86 H90">
    <cfRule type="cellIs" dxfId="19" priority="2" operator="lessThan">
      <formula>0</formula>
    </cfRule>
  </conditionalFormatting>
  <conditionalFormatting sqref="H95:H96">
    <cfRule type="cellIs" dxfId="18" priority="1" operator="lessThan">
      <formula>0</formula>
    </cfRule>
  </conditionalFormatting>
  <dataValidations count="4">
    <dataValidation type="list" operator="equal" allowBlank="1" showInputMessage="1" showErrorMessage="1" promptTitle="Gewichtung" sqref="D10 D13:D15 D17 D20:D22 D24:D28 D31:D33 D35 D39:D42 D44:D47 D49:D52 D54:D57 D60:D62 D64:D66 D68:D70 D72:D74 D77:D79 D81:D83 D86:D88 D90:D92" xr:uid="{00000000-0002-0000-0300-000000000000}">
      <formula1>$C$102:$C$106</formula1>
      <formula2>0</formula2>
    </dataValidation>
    <dataValidation operator="equal" allowBlank="1" showInputMessage="1" showErrorMessage="1" promptTitle="Gewichtung" sqref="D11:D12 D16 D18:D19 E10:E22 E24:E28 D30:E30 E31:E37 D34 D36:D37 E39:E58 D43 D48 D53 D58 E60:E75 D63 D67 D71 D75 E77:E93 D80 D84:D85 D89 D93" xr:uid="{00000000-0002-0000-0300-000001000000}">
      <formula1>0</formula1>
      <formula2>0</formula2>
    </dataValidation>
    <dataValidation type="decimal" allowBlank="1" showInputMessage="1" showErrorMessage="1" errorTitle="Value" error="Value has to be between 0 and 10." sqref="H11 H14 H15 H18 H21 H25 H26 H27 H22 H29 H32:H33 H36 H40:H42 H45:H47 H50:H52 H55:H57 H61:H62 H65:H66 H69:H70 H73:H74 H78:H79 H82:H83 H87:H88 H91:H92" xr:uid="{D7754F01-D2DE-40D6-9090-EF54FCC3F280}">
      <formula1>0</formula1>
      <formula2>10</formula2>
    </dataValidation>
    <dataValidation type="decimal" allowBlank="1" showErrorMessage="1" errorTitle="Value" error="Value has to be between -200 and 0." sqref="H93 H89 H84:H85 H80 H75 H71 H67 H63 H58 H53 H48 H43 H37 H34 H30 H19 H16 H12" xr:uid="{19E50D16-2E99-47AE-A971-8A481D86DAA1}">
      <formula1>-200</formula1>
      <formula2>0</formula2>
    </dataValidation>
  </dataValidations>
  <pageMargins left="0.43333333333333335" right="0.47222222222222221" top="0.39374999999999999" bottom="0.39374999999999999" header="0.51180555555555551" footer="0.51180555555555551"/>
  <pageSetup paperSize="9" firstPageNumber="0" fitToHeight="15"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0"/>
  <dimension ref="A1:Y163"/>
  <sheetViews>
    <sheetView zoomScale="75" zoomScaleNormal="75" workbookViewId="0">
      <pane xSplit="2" ySplit="9" topLeftCell="C43" activePane="bottomRight" state="frozen"/>
      <selection pane="topRight" activeCell="C1" sqref="C1"/>
      <selection pane="bottomLeft" activeCell="A30" sqref="A30"/>
      <selection pane="bottomRight" activeCell="M36" sqref="M36"/>
    </sheetView>
  </sheetViews>
  <sheetFormatPr baseColWidth="10" defaultColWidth="10.28515625" defaultRowHeight="12" customHeight="1"/>
  <cols>
    <col min="1" max="2" width="1.28515625" style="114" customWidth="1"/>
    <col min="3" max="4" width="2.28515625" style="114" customWidth="1"/>
    <col min="5" max="5" width="8.28515625" style="114" customWidth="1"/>
    <col min="6" max="6" width="40.85546875" style="114" customWidth="1"/>
    <col min="7" max="7" width="27.28515625" style="114" customWidth="1"/>
    <col min="8" max="8" width="17.28515625" style="114" customWidth="1"/>
    <col min="9" max="9" width="12.28515625" style="114" customWidth="1"/>
    <col min="10" max="10" width="36.28515625" style="114" customWidth="1"/>
    <col min="11" max="11" width="12.7109375" style="114" customWidth="1"/>
    <col min="12" max="12" width="3.28515625" style="114" customWidth="1"/>
    <col min="13" max="15" width="13.28515625" style="115" customWidth="1"/>
    <col min="16" max="16" width="14.28515625" style="115" customWidth="1"/>
    <col min="17" max="17" width="1.28515625" style="114" customWidth="1"/>
    <col min="18" max="18" width="10.28515625" style="114" customWidth="1"/>
    <col min="19" max="25" width="10.28515625" style="116" customWidth="1"/>
    <col min="26" max="16384" width="10.28515625" style="114"/>
  </cols>
  <sheetData>
    <row r="1" spans="1:18" ht="6.75" customHeight="1">
      <c r="A1" s="116"/>
      <c r="B1" s="116"/>
      <c r="C1" s="116"/>
      <c r="D1" s="116"/>
      <c r="E1" s="116"/>
      <c r="F1" s="116"/>
      <c r="G1" s="116"/>
      <c r="H1" s="116"/>
      <c r="I1" s="116"/>
      <c r="J1" s="116"/>
      <c r="K1" s="116"/>
      <c r="L1" s="116"/>
      <c r="M1" s="117"/>
      <c r="N1" s="117"/>
      <c r="O1" s="117"/>
      <c r="P1" s="117"/>
      <c r="Q1" s="116"/>
      <c r="R1" s="116"/>
    </row>
    <row r="2" spans="1:18" ht="7.5" customHeight="1">
      <c r="A2" s="116"/>
      <c r="B2" s="118"/>
      <c r="C2" s="118"/>
      <c r="D2" s="118"/>
      <c r="E2" s="118"/>
      <c r="F2" s="116"/>
      <c r="G2" s="116"/>
      <c r="H2" s="116"/>
      <c r="I2" s="116"/>
      <c r="J2" s="116"/>
      <c r="K2" s="116"/>
      <c r="L2" s="116"/>
      <c r="M2" s="117"/>
      <c r="N2" s="117"/>
      <c r="O2" s="117"/>
      <c r="P2" s="117"/>
      <c r="Q2" s="116"/>
      <c r="R2" s="116"/>
    </row>
    <row r="3" spans="1:18" ht="6.75" customHeight="1">
      <c r="A3" s="116"/>
      <c r="B3" s="119"/>
      <c r="C3" s="120"/>
      <c r="D3" s="121"/>
      <c r="E3" s="121"/>
      <c r="F3" s="121"/>
      <c r="G3" s="121"/>
      <c r="H3" s="121"/>
      <c r="I3" s="121"/>
      <c r="J3" s="121"/>
      <c r="K3" s="121"/>
      <c r="L3" s="121"/>
      <c r="M3" s="122"/>
      <c r="N3" s="122"/>
      <c r="O3" s="122"/>
      <c r="P3" s="122"/>
      <c r="Q3" s="123"/>
      <c r="R3" s="116"/>
    </row>
    <row r="4" spans="1:18" ht="42" customHeight="1">
      <c r="A4" s="116"/>
      <c r="B4" s="124"/>
      <c r="C4" s="125"/>
      <c r="D4" s="126"/>
      <c r="E4" s="602" t="s">
        <v>97</v>
      </c>
      <c r="F4" s="602"/>
      <c r="G4" s="602"/>
      <c r="H4" s="602"/>
      <c r="I4" s="602"/>
      <c r="J4" s="602"/>
      <c r="K4" s="603" t="s">
        <v>98</v>
      </c>
      <c r="L4" s="603"/>
      <c r="M4" s="598" t="s">
        <v>99</v>
      </c>
      <c r="N4" s="598" t="s">
        <v>100</v>
      </c>
      <c r="O4" s="598" t="s">
        <v>101</v>
      </c>
      <c r="P4" s="598" t="s">
        <v>102</v>
      </c>
      <c r="Q4" s="127"/>
      <c r="R4" s="116"/>
    </row>
    <row r="5" spans="1:18" ht="24.75" customHeight="1">
      <c r="A5" s="116"/>
      <c r="B5" s="128" t="s">
        <v>103</v>
      </c>
      <c r="C5" s="129"/>
      <c r="D5" s="128"/>
      <c r="E5" s="602"/>
      <c r="F5" s="602"/>
      <c r="G5" s="602"/>
      <c r="H5" s="602"/>
      <c r="I5" s="602"/>
      <c r="J5" s="602"/>
      <c r="K5" s="603"/>
      <c r="L5" s="603"/>
      <c r="M5" s="598"/>
      <c r="N5" s="598"/>
      <c r="O5" s="598"/>
      <c r="P5" s="598"/>
      <c r="Q5" s="127"/>
      <c r="R5" s="116"/>
    </row>
    <row r="6" spans="1:18" ht="12.75" customHeight="1">
      <c r="A6" s="116"/>
      <c r="B6" s="128" t="s">
        <v>104</v>
      </c>
      <c r="C6" s="129"/>
      <c r="D6" s="128"/>
      <c r="E6" s="602"/>
      <c r="F6" s="602"/>
      <c r="G6" s="602"/>
      <c r="H6" s="602"/>
      <c r="I6" s="602"/>
      <c r="J6" s="602"/>
      <c r="K6" s="603"/>
      <c r="L6" s="603"/>
      <c r="M6" s="598"/>
      <c r="N6" s="598"/>
      <c r="O6" s="598"/>
      <c r="P6" s="598"/>
      <c r="Q6" s="127"/>
      <c r="R6" s="116"/>
    </row>
    <row r="7" spans="1:18" ht="41.25" customHeight="1">
      <c r="A7" s="116"/>
      <c r="B7" s="128"/>
      <c r="C7" s="129"/>
      <c r="D7" s="128"/>
      <c r="E7" s="130"/>
      <c r="F7" s="599"/>
      <c r="G7" s="599"/>
      <c r="H7" s="600" t="s">
        <v>105</v>
      </c>
      <c r="I7" s="600"/>
      <c r="J7" s="131" t="s">
        <v>106</v>
      </c>
      <c r="K7" s="603"/>
      <c r="L7" s="603"/>
      <c r="M7" s="598"/>
      <c r="N7" s="598"/>
      <c r="O7" s="598"/>
      <c r="P7" s="598"/>
      <c r="Q7" s="127"/>
      <c r="R7" s="116"/>
    </row>
    <row r="8" spans="1:18" ht="57" customHeight="1">
      <c r="A8" s="116"/>
      <c r="B8" s="132"/>
      <c r="C8" s="133"/>
      <c r="D8" s="132"/>
      <c r="E8" s="134"/>
      <c r="F8" s="601" t="s">
        <v>107</v>
      </c>
      <c r="G8" s="601"/>
      <c r="H8" s="601"/>
      <c r="I8" s="601"/>
      <c r="J8" s="601"/>
      <c r="K8" s="135"/>
      <c r="L8" s="135"/>
      <c r="M8" s="598"/>
      <c r="N8" s="598"/>
      <c r="O8" s="598"/>
      <c r="P8" s="598"/>
      <c r="Q8" s="127"/>
      <c r="R8" s="116"/>
    </row>
    <row r="9" spans="1:18" ht="15" customHeight="1">
      <c r="A9" s="116"/>
      <c r="B9" s="132"/>
      <c r="C9" s="133"/>
      <c r="D9" s="132"/>
      <c r="E9" s="134"/>
      <c r="F9" s="450"/>
      <c r="G9" s="450"/>
      <c r="H9" s="450"/>
      <c r="I9" s="450"/>
      <c r="J9" s="450"/>
      <c r="K9" s="135"/>
      <c r="L9" s="135"/>
      <c r="M9" s="136">
        <f>M15+M23+M29+M36+M42</f>
        <v>256.41025641025641</v>
      </c>
      <c r="N9" s="136">
        <f>N15+N23+N29+N36+N42</f>
        <v>256.41025641025641</v>
      </c>
      <c r="O9" s="136">
        <f>O15+O23+O29+O36+O42</f>
        <v>256.41025641025641</v>
      </c>
      <c r="P9" s="136">
        <f>P15+P23+P29+P36+P42</f>
        <v>230.76923076923075</v>
      </c>
      <c r="Q9" s="127"/>
      <c r="R9" s="116"/>
    </row>
    <row r="10" spans="1:18" ht="21" customHeight="1">
      <c r="A10" s="116"/>
      <c r="B10" s="595"/>
      <c r="C10" s="137"/>
      <c r="D10" s="138"/>
      <c r="E10" s="139"/>
      <c r="F10" s="596" t="s">
        <v>108</v>
      </c>
      <c r="G10" s="596"/>
      <c r="H10" s="596"/>
      <c r="I10" s="140">
        <f>'2. Company Facts'!C7</f>
        <v>0</v>
      </c>
      <c r="J10" s="577" t="s">
        <v>109</v>
      </c>
      <c r="K10" s="597" t="str">
        <f>K49</f>
        <v>1</v>
      </c>
      <c r="L10" s="579">
        <f>M15+N15+O15+P15</f>
        <v>179.48717948717947</v>
      </c>
      <c r="M10" s="593" t="s">
        <v>14</v>
      </c>
      <c r="N10" s="575" t="s">
        <v>17</v>
      </c>
      <c r="O10" s="575" t="s">
        <v>21</v>
      </c>
      <c r="P10" s="576" t="s">
        <v>24</v>
      </c>
      <c r="Q10" s="141"/>
      <c r="R10" s="116"/>
    </row>
    <row r="11" spans="1:18" ht="13.5" customHeight="1">
      <c r="A11" s="116"/>
      <c r="B11" s="595"/>
      <c r="C11" s="142"/>
      <c r="D11" s="143"/>
      <c r="E11" s="144"/>
      <c r="F11" s="594"/>
      <c r="G11" s="594"/>
      <c r="H11" s="594"/>
      <c r="I11" s="594"/>
      <c r="J11" s="577"/>
      <c r="K11" s="597"/>
      <c r="L11" s="597"/>
      <c r="M11" s="593"/>
      <c r="N11" s="575"/>
      <c r="O11" s="575"/>
      <c r="P11" s="576"/>
      <c r="Q11" s="127"/>
      <c r="R11" s="116"/>
    </row>
    <row r="12" spans="1:18" ht="21.75" customHeight="1">
      <c r="A12" s="116"/>
      <c r="B12" s="595"/>
      <c r="C12" s="133"/>
      <c r="D12" s="132"/>
      <c r="E12" s="144" t="s">
        <v>110</v>
      </c>
      <c r="F12" s="145" t="s">
        <v>111</v>
      </c>
      <c r="G12" s="146" t="s">
        <v>112</v>
      </c>
      <c r="H12" s="146" t="s">
        <v>113</v>
      </c>
      <c r="I12" s="145" t="s">
        <v>114</v>
      </c>
      <c r="J12" s="577"/>
      <c r="K12" s="597"/>
      <c r="L12" s="597"/>
      <c r="M12" s="147"/>
      <c r="N12" s="148"/>
      <c r="O12" s="148"/>
      <c r="P12" s="149"/>
      <c r="Q12" s="127"/>
      <c r="R12" s="116"/>
    </row>
    <row r="13" spans="1:18" ht="15" customHeight="1">
      <c r="A13" s="116"/>
      <c r="B13" s="595"/>
      <c r="C13" s="133"/>
      <c r="D13" s="132"/>
      <c r="E13" s="144" t="str">
        <f>LEFT(F13,2)</f>
        <v>Pl</v>
      </c>
      <c r="F13" s="150" t="str">
        <f>'2. Company Facts'!B10</f>
        <v>Please choose</v>
      </c>
      <c r="G13" s="151" t="str">
        <f>'2. Company Facts'!C10</f>
        <v>Please enter</v>
      </c>
      <c r="H13" s="151" t="str">
        <f>'2. Company Facts'!D10</f>
        <v>Please choose</v>
      </c>
      <c r="I13" s="152">
        <f>'2. Company Facts'!F10</f>
        <v>0</v>
      </c>
      <c r="J13" s="577"/>
      <c r="K13" s="597"/>
      <c r="L13" s="597"/>
      <c r="M13" s="153"/>
      <c r="N13" s="154"/>
      <c r="O13" s="154"/>
      <c r="P13" s="155"/>
      <c r="Q13" s="127"/>
      <c r="R13" s="116"/>
    </row>
    <row r="14" spans="1:18" ht="15" customHeight="1">
      <c r="A14" s="116"/>
      <c r="B14" s="595"/>
      <c r="C14" s="156"/>
      <c r="D14" s="157"/>
      <c r="E14" s="144" t="str">
        <f>LEFT(F14,2)</f>
        <v>Pl</v>
      </c>
      <c r="F14" s="158" t="str">
        <f>'2. Company Facts'!B11</f>
        <v>Please choose</v>
      </c>
      <c r="G14" s="159" t="str">
        <f>'2. Company Facts'!C11</f>
        <v>Please enter</v>
      </c>
      <c r="H14" s="159" t="str">
        <f>'2. Company Facts'!D11</f>
        <v>Please choose</v>
      </c>
      <c r="I14" s="160">
        <f>'2. Company Facts'!F11</f>
        <v>0</v>
      </c>
      <c r="J14" s="577"/>
      <c r="K14" s="597"/>
      <c r="L14" s="597"/>
      <c r="M14" s="161">
        <f>'3. Calc'!D10</f>
        <v>1</v>
      </c>
      <c r="N14" s="162">
        <f>'3. Calc'!D13</f>
        <v>1</v>
      </c>
      <c r="O14" s="163">
        <f>'3. Calc'!D17</f>
        <v>1</v>
      </c>
      <c r="P14" s="164">
        <f>'3. Calc'!D20</f>
        <v>0.5</v>
      </c>
      <c r="Q14" s="165">
        <f>'11.Region'!U10</f>
        <v>0</v>
      </c>
      <c r="R14" s="116"/>
    </row>
    <row r="15" spans="1:18" ht="15" customHeight="1">
      <c r="A15" s="116"/>
      <c r="B15" s="157"/>
      <c r="C15" s="156"/>
      <c r="D15" s="157"/>
      <c r="E15" s="144" t="str">
        <f>LEFT(F15,2)</f>
        <v>Pl</v>
      </c>
      <c r="F15" s="166" t="str">
        <f>'2. Company Facts'!B12</f>
        <v>Please choose</v>
      </c>
      <c r="G15" s="159" t="str">
        <f>'2. Company Facts'!C12</f>
        <v>Please enter</v>
      </c>
      <c r="H15" s="159" t="str">
        <f>'2. Company Facts'!D12</f>
        <v>Please choose</v>
      </c>
      <c r="I15" s="160">
        <f>'2. Company Facts'!F12</f>
        <v>0</v>
      </c>
      <c r="J15" s="577"/>
      <c r="K15" s="597"/>
      <c r="L15" s="597"/>
      <c r="M15" s="167">
        <f>M49</f>
        <v>51.282051282051277</v>
      </c>
      <c r="N15" s="168">
        <f>N49</f>
        <v>51.282051282051277</v>
      </c>
      <c r="O15" s="168">
        <f>O49</f>
        <v>51.282051282051277</v>
      </c>
      <c r="P15" s="169">
        <f>P49</f>
        <v>25.641025641025639</v>
      </c>
      <c r="Q15" s="165"/>
      <c r="R15" s="116"/>
    </row>
    <row r="16" spans="1:18" ht="15" customHeight="1" thickBot="1">
      <c r="A16" s="116"/>
      <c r="B16" s="128"/>
      <c r="C16" s="129"/>
      <c r="D16" s="128"/>
      <c r="E16" s="144" t="str">
        <f>LEFT(F16,2)</f>
        <v>Pl</v>
      </c>
      <c r="F16" s="166" t="str">
        <f>'2. Company Facts'!B13</f>
        <v>Please choose</v>
      </c>
      <c r="G16" s="159" t="str">
        <f>'2. Company Facts'!C13</f>
        <v>Please enter</v>
      </c>
      <c r="H16" s="159" t="str">
        <f>'2. Company Facts'!D13</f>
        <v>Please choose</v>
      </c>
      <c r="I16" s="160">
        <f>'2. Company Facts'!F13</f>
        <v>0</v>
      </c>
      <c r="J16" s="577"/>
      <c r="K16" s="597"/>
      <c r="L16" s="597"/>
      <c r="M16" s="170">
        <f>'3. Calc'!C104</f>
        <v>1</v>
      </c>
      <c r="N16" s="171">
        <f>'3. Calc'!C104</f>
        <v>1</v>
      </c>
      <c r="O16" s="171">
        <f>IFERROR(IF('11.Region'!N8&gt;1.5,'3. Calc'!C102,IF('11.Region'!N8&gt;1.25,'3. Calc'!C103,IF('11.Region'!N8&lt;0.75,'3. Calc'!C105,'3. Calc'!C104))),'3. Calc'!C104)</f>
        <v>1</v>
      </c>
      <c r="P16" s="172">
        <f>IF('11.Region'!I9&lt;1.5,'3. Calc'!C105,IF('11.Region'!I9&lt;3.26,'3. Calc'!C104,IF('11.Region'!I9&lt;4.5,'3. Calc'!C103,'3. Calc'!C102)))</f>
        <v>0.5</v>
      </c>
      <c r="Q16" s="165"/>
      <c r="R16" s="116"/>
    </row>
    <row r="17" spans="1:18" ht="15" customHeight="1" thickBot="1">
      <c r="A17" s="116"/>
      <c r="B17" s="128"/>
      <c r="C17" s="129"/>
      <c r="D17" s="128"/>
      <c r="E17" s="144" t="str">
        <f>LEFT(F17,2)</f>
        <v>Pl</v>
      </c>
      <c r="F17" s="173" t="str">
        <f>'2. Company Facts'!B14</f>
        <v>Please choose</v>
      </c>
      <c r="G17" s="174" t="str">
        <f>'2. Company Facts'!C14</f>
        <v>Please enter</v>
      </c>
      <c r="H17" s="159" t="str">
        <f>'2. Company Facts'!D14</f>
        <v>Please choose</v>
      </c>
      <c r="I17" s="160">
        <f>'2. Company Facts'!F14</f>
        <v>0</v>
      </c>
      <c r="J17" s="577"/>
      <c r="K17" s="597"/>
      <c r="L17" s="597"/>
      <c r="M17" s="153"/>
      <c r="N17" s="154"/>
      <c r="O17" s="154"/>
      <c r="P17" s="155"/>
      <c r="Q17" s="165"/>
      <c r="R17" s="116"/>
    </row>
    <row r="18" spans="1:18" ht="15.75" customHeight="1" thickTop="1" thickBot="1">
      <c r="A18" s="116"/>
      <c r="B18" s="176"/>
      <c r="C18" s="177"/>
      <c r="D18" s="178"/>
      <c r="E18" s="179"/>
      <c r="F18" s="180" t="s">
        <v>115</v>
      </c>
      <c r="G18" s="180"/>
      <c r="H18" s="434" t="str">
        <f>'2. Company Facts'!D15</f>
        <v>Please choose</v>
      </c>
      <c r="I18" s="175">
        <f>'2. Company Facts'!F15</f>
        <v>0</v>
      </c>
      <c r="J18" s="577"/>
      <c r="K18" s="597"/>
      <c r="L18" s="597"/>
      <c r="M18" s="181"/>
      <c r="N18" s="182"/>
      <c r="O18" s="182"/>
      <c r="P18" s="183"/>
      <c r="Q18" s="184"/>
      <c r="R18" s="116"/>
    </row>
    <row r="19" spans="1:18" ht="13.5" customHeight="1" thickTop="1" thickBot="1">
      <c r="A19" s="116"/>
      <c r="B19" s="157"/>
      <c r="C19" s="156"/>
      <c r="D19" s="157"/>
      <c r="E19" s="144"/>
      <c r="F19" s="588" t="s">
        <v>116</v>
      </c>
      <c r="G19" s="588"/>
      <c r="H19" s="588"/>
      <c r="I19" s="185">
        <f>'2. Company Facts'!C18</f>
        <v>0</v>
      </c>
      <c r="J19" s="584" t="s">
        <v>117</v>
      </c>
      <c r="K19" s="578" t="str">
        <f>K50</f>
        <v>1</v>
      </c>
      <c r="L19" s="579">
        <f>M23+N23+O23+P23</f>
        <v>205.12820512820511</v>
      </c>
      <c r="M19" s="591" t="s">
        <v>28</v>
      </c>
      <c r="N19" s="581" t="s">
        <v>32</v>
      </c>
      <c r="O19" s="581" t="s">
        <v>35</v>
      </c>
      <c r="P19" s="582" t="s">
        <v>39</v>
      </c>
      <c r="Q19" s="165"/>
      <c r="R19" s="116"/>
    </row>
    <row r="20" spans="1:18" ht="15" customHeight="1">
      <c r="A20" s="116"/>
      <c r="B20" s="157"/>
      <c r="C20" s="156"/>
      <c r="D20" s="157"/>
      <c r="E20" s="144"/>
      <c r="F20" s="590" t="s">
        <v>118</v>
      </c>
      <c r="G20" s="590"/>
      <c r="H20" s="590"/>
      <c r="I20" s="186" t="str">
        <f>IFERROR(I19/I32,"-")</f>
        <v>-</v>
      </c>
      <c r="J20" s="584"/>
      <c r="K20" s="578"/>
      <c r="L20" s="578"/>
      <c r="M20" s="591"/>
      <c r="N20" s="581" t="s">
        <v>119</v>
      </c>
      <c r="O20" s="581"/>
      <c r="P20" s="582" t="s">
        <v>120</v>
      </c>
      <c r="Q20" s="165"/>
      <c r="R20" s="116"/>
    </row>
    <row r="21" spans="1:18" ht="15" customHeight="1">
      <c r="A21" s="116"/>
      <c r="B21" s="157"/>
      <c r="C21" s="156"/>
      <c r="D21" s="157"/>
      <c r="E21" s="144"/>
      <c r="F21" s="587" t="s">
        <v>121</v>
      </c>
      <c r="G21" s="587"/>
      <c r="H21" s="587"/>
      <c r="I21" s="187">
        <f>'2. Company Facts'!C19</f>
        <v>0</v>
      </c>
      <c r="J21" s="584"/>
      <c r="K21" s="578"/>
      <c r="L21" s="578"/>
      <c r="M21" s="147"/>
      <c r="N21" s="148"/>
      <c r="O21" s="148"/>
      <c r="P21" s="149"/>
      <c r="Q21" s="165"/>
      <c r="R21" s="116"/>
    </row>
    <row r="22" spans="1:18" ht="15" customHeight="1">
      <c r="A22" s="116"/>
      <c r="B22" s="124"/>
      <c r="C22" s="188"/>
      <c r="D22" s="124"/>
      <c r="E22" s="189">
        <f>IFERROR((G24+I24)/I23,0.2)</f>
        <v>0.2</v>
      </c>
      <c r="F22" s="190" t="s">
        <v>122</v>
      </c>
      <c r="G22" s="592" t="s">
        <v>123</v>
      </c>
      <c r="H22" s="592"/>
      <c r="I22" s="191">
        <f>'2. Company Facts'!C20</f>
        <v>0</v>
      </c>
      <c r="J22" s="584"/>
      <c r="K22" s="578"/>
      <c r="L22" s="578"/>
      <c r="M22" s="192">
        <f>'3. Calc'!D24</f>
        <v>1</v>
      </c>
      <c r="N22" s="193">
        <f>'3. Calc'!D28</f>
        <v>1</v>
      </c>
      <c r="O22" s="193">
        <f>'3. Calc'!D31</f>
        <v>1</v>
      </c>
      <c r="P22" s="194">
        <f>'3. Calc'!D35</f>
        <v>1</v>
      </c>
      <c r="Q22" s="195"/>
      <c r="R22" s="116"/>
    </row>
    <row r="23" spans="1:18" ht="15" customHeight="1">
      <c r="A23" s="116"/>
      <c r="B23" s="124"/>
      <c r="C23" s="188"/>
      <c r="D23" s="124"/>
      <c r="E23" s="196">
        <f>IFERROR(I32/I23,0.3)</f>
        <v>0.3</v>
      </c>
      <c r="F23" s="190" t="s">
        <v>124</v>
      </c>
      <c r="G23" s="587" t="s">
        <v>125</v>
      </c>
      <c r="H23" s="587"/>
      <c r="I23" s="197">
        <f>'2. Company Facts'!C21</f>
        <v>0</v>
      </c>
      <c r="J23" s="584"/>
      <c r="K23" s="578"/>
      <c r="L23" s="578"/>
      <c r="M23" s="167">
        <f>M50</f>
        <v>51.282051282051277</v>
      </c>
      <c r="N23" s="168">
        <f>N50</f>
        <v>51.282051282051277</v>
      </c>
      <c r="O23" s="168">
        <f>O50</f>
        <v>51.282051282051277</v>
      </c>
      <c r="P23" s="169">
        <f>P50</f>
        <v>51.282051282051277</v>
      </c>
      <c r="Q23" s="195"/>
      <c r="R23" s="116"/>
    </row>
    <row r="24" spans="1:18" ht="15.75" customHeight="1">
      <c r="A24" s="116"/>
      <c r="B24" s="198"/>
      <c r="C24" s="199"/>
      <c r="D24" s="200"/>
      <c r="E24" s="179"/>
      <c r="F24" s="201" t="s">
        <v>126</v>
      </c>
      <c r="G24" s="185">
        <f>'2. Company Facts'!C22</f>
        <v>0</v>
      </c>
      <c r="H24" s="201" t="s">
        <v>127</v>
      </c>
      <c r="I24" s="202">
        <f>'2. Company Facts'!C23</f>
        <v>0</v>
      </c>
      <c r="J24" s="584"/>
      <c r="K24" s="578"/>
      <c r="L24" s="578"/>
      <c r="M24" s="203">
        <f>IFERROR(IF(H35='10. Industry'!A22,'3. Calc'!C102,IF(E23&lt;0.1,'3. Calc'!C103,IF(E23&gt;0.5,'3. Calc'!C105,'3. Calc'!C104))),'3. Calc'!C104)</f>
        <v>1</v>
      </c>
      <c r="N24" s="204">
        <f>IFERROR(IF(I20="-",'3. Calc'!C104,IF(I20&gt;0.1,'3. Calc'!C103,IF(I20&lt;0.001,'3. Calc'!C106,IF(I20&lt;0.03,'3. Calc'!C105,'3. Calc'!C104)))),'3. Calc'!C104)</f>
        <v>1</v>
      </c>
      <c r="O24" s="204">
        <f>IFERROR(IF(H35='10. Industry'!A22,'3. Calc'!C102,IF(E22&lt;0.1,'3. Calc'!C105,IF(E22&gt;0.25,'3. Calc'!C103,'3. Calc'!C104))),'3. Calc'!C104)</f>
        <v>1</v>
      </c>
      <c r="P24" s="205">
        <f>IF(H40="Kleinstunternehmen",'3. Calc'!C105,'3. Calc'!C104)</f>
        <v>1</v>
      </c>
      <c r="Q24" s="206"/>
      <c r="R24" s="116"/>
    </row>
    <row r="25" spans="1:18" ht="12" customHeight="1">
      <c r="A25" s="116"/>
      <c r="B25" s="198"/>
      <c r="C25" s="207"/>
      <c r="D25" s="208"/>
      <c r="E25" s="144"/>
      <c r="F25" s="588" t="s">
        <v>128</v>
      </c>
      <c r="G25" s="588"/>
      <c r="H25" s="588"/>
      <c r="I25" s="209">
        <f>'2. Company Facts'!C27</f>
        <v>0</v>
      </c>
      <c r="J25" s="584" t="s">
        <v>129</v>
      </c>
      <c r="K25" s="578" t="str">
        <f>K51</f>
        <v>1</v>
      </c>
      <c r="L25" s="579">
        <f>M29+N29+O29+P29</f>
        <v>205.12820512820511</v>
      </c>
      <c r="M25" s="580" t="s">
        <v>43</v>
      </c>
      <c r="N25" s="586" t="s">
        <v>48</v>
      </c>
      <c r="O25" s="581" t="s">
        <v>53</v>
      </c>
      <c r="P25" s="582" t="s">
        <v>58</v>
      </c>
      <c r="Q25" s="195"/>
      <c r="R25" s="116"/>
    </row>
    <row r="26" spans="1:18" ht="15" customHeight="1">
      <c r="A26" s="116"/>
      <c r="B26" s="198"/>
      <c r="C26" s="207"/>
      <c r="D26" s="208"/>
      <c r="E26" s="144"/>
      <c r="F26" s="587" t="s">
        <v>130</v>
      </c>
      <c r="G26" s="587"/>
      <c r="H26" s="587"/>
      <c r="I26" s="210">
        <f>'2. Company Facts'!C26</f>
        <v>0</v>
      </c>
      <c r="J26" s="584"/>
      <c r="K26" s="578"/>
      <c r="L26" s="578"/>
      <c r="M26" s="580"/>
      <c r="N26" s="586"/>
      <c r="O26" s="581" t="s">
        <v>131</v>
      </c>
      <c r="P26" s="582" t="s">
        <v>132</v>
      </c>
      <c r="Q26" s="195"/>
      <c r="R26" s="116"/>
    </row>
    <row r="27" spans="1:18" ht="12" customHeight="1">
      <c r="A27" s="116"/>
      <c r="B27" s="198"/>
      <c r="C27" s="207"/>
      <c r="D27" s="208"/>
      <c r="E27" s="144"/>
      <c r="F27" s="211"/>
      <c r="G27" s="453" t="s">
        <v>133</v>
      </c>
      <c r="H27" s="212" t="str">
        <f>'2. Company Facts'!B30</f>
        <v>Please choose</v>
      </c>
      <c r="I27" s="213">
        <f>'2. Company Facts'!D30</f>
        <v>0</v>
      </c>
      <c r="J27" s="584"/>
      <c r="K27" s="578"/>
      <c r="L27" s="578"/>
      <c r="M27" s="147"/>
      <c r="N27" s="148"/>
      <c r="O27" s="148"/>
      <c r="P27" s="149"/>
      <c r="Q27" s="195"/>
      <c r="R27" s="116"/>
    </row>
    <row r="28" spans="1:18" ht="15" customHeight="1">
      <c r="A28" s="116"/>
      <c r="B28" s="128"/>
      <c r="C28" s="188"/>
      <c r="D28" s="124"/>
      <c r="E28" s="144"/>
      <c r="F28" s="211"/>
      <c r="G28" s="453" t="s">
        <v>134</v>
      </c>
      <c r="H28" s="214" t="str">
        <f>'2. Company Facts'!B31</f>
        <v>Please choose</v>
      </c>
      <c r="I28" s="215">
        <f>'2. Company Facts'!D31</f>
        <v>0</v>
      </c>
      <c r="J28" s="584"/>
      <c r="K28" s="578"/>
      <c r="L28" s="578"/>
      <c r="M28" s="192">
        <f>'3. Calc'!D39</f>
        <v>1</v>
      </c>
      <c r="N28" s="193">
        <f>'3. Calc'!D44</f>
        <v>1</v>
      </c>
      <c r="O28" s="193">
        <f>'3. Calc'!D49</f>
        <v>1</v>
      </c>
      <c r="P28" s="194">
        <f>'3. Calc'!D54</f>
        <v>1</v>
      </c>
      <c r="Q28" s="195"/>
      <c r="R28" s="116"/>
    </row>
    <row r="29" spans="1:18" ht="15" customHeight="1">
      <c r="A29" s="116"/>
      <c r="B29" s="128"/>
      <c r="C29" s="188"/>
      <c r="D29" s="124"/>
      <c r="E29" s="144"/>
      <c r="F29" s="211"/>
      <c r="G29" s="453" t="s">
        <v>134</v>
      </c>
      <c r="H29" s="216" t="str">
        <f>'2. Company Facts'!B32</f>
        <v>Please choose</v>
      </c>
      <c r="I29" s="217">
        <f>'2. Company Facts'!D32</f>
        <v>0</v>
      </c>
      <c r="J29" s="584"/>
      <c r="K29" s="578"/>
      <c r="L29" s="578"/>
      <c r="M29" s="167">
        <f>M51</f>
        <v>51.282051282051277</v>
      </c>
      <c r="N29" s="168">
        <f>N51</f>
        <v>51.282051282051277</v>
      </c>
      <c r="O29" s="168">
        <f>O51</f>
        <v>51.282051282051277</v>
      </c>
      <c r="P29" s="169">
        <f>P51</f>
        <v>51.282051282051277</v>
      </c>
      <c r="Q29" s="195"/>
      <c r="R29" s="116"/>
    </row>
    <row r="30" spans="1:18" ht="15" customHeight="1">
      <c r="A30" s="116"/>
      <c r="B30" s="128"/>
      <c r="C30" s="188"/>
      <c r="D30" s="124"/>
      <c r="E30" s="144"/>
      <c r="F30" s="587" t="s">
        <v>135</v>
      </c>
      <c r="G30" s="587"/>
      <c r="H30" s="587"/>
      <c r="I30" s="218">
        <f>'2. Company Facts'!C33</f>
        <v>0</v>
      </c>
      <c r="J30" s="584"/>
      <c r="K30" s="578"/>
      <c r="L30" s="578"/>
      <c r="M30" s="170">
        <f>'3. Calc'!C104</f>
        <v>1</v>
      </c>
      <c r="N30" s="170">
        <f>'3. Calc'!C104</f>
        <v>1</v>
      </c>
      <c r="O30" s="171">
        <f>IF(AND(OR(I31="Nein",I31="No",I31="Nao",I31="Pas"),I30&lt;10),'3. Calc'!C105,IF(I30&gt;25,'3. Calc'!C103,'3. Calc'!C104))</f>
        <v>1</v>
      </c>
      <c r="P30" s="172">
        <f>IF(I26=1,'3. Calc'!C106,IF(H40="Kleinstunternehmen",'3. Calc'!C105,IF('11.Region'!I14&gt;3.25,'3. Calc'!C103,'3. Calc'!C104)))</f>
        <v>1</v>
      </c>
      <c r="Q30" s="195"/>
      <c r="R30" s="116"/>
    </row>
    <row r="31" spans="1:18" ht="15.75" customHeight="1">
      <c r="A31" s="116"/>
      <c r="B31" s="198"/>
      <c r="C31" s="199"/>
      <c r="D31" s="200"/>
      <c r="E31" s="179"/>
      <c r="F31" s="589" t="s">
        <v>136</v>
      </c>
      <c r="G31" s="589"/>
      <c r="H31" s="589"/>
      <c r="I31" s="219">
        <f>'2. Company Facts'!C34</f>
        <v>0</v>
      </c>
      <c r="J31" s="584"/>
      <c r="K31" s="578"/>
      <c r="L31" s="578"/>
      <c r="M31" s="181"/>
      <c r="N31" s="182"/>
      <c r="O31" s="182"/>
      <c r="P31" s="183"/>
      <c r="Q31" s="206"/>
      <c r="R31" s="116"/>
    </row>
    <row r="32" spans="1:18" ht="12.75" customHeight="1">
      <c r="A32" s="116"/>
      <c r="B32" s="198"/>
      <c r="C32" s="207"/>
      <c r="D32" s="208"/>
      <c r="E32" s="144"/>
      <c r="F32" s="583" t="s">
        <v>137</v>
      </c>
      <c r="G32" s="583"/>
      <c r="H32" s="583"/>
      <c r="I32" s="220">
        <f>'2. Company Facts'!C37</f>
        <v>0</v>
      </c>
      <c r="J32" s="584" t="s">
        <v>138</v>
      </c>
      <c r="K32" s="578">
        <v>1</v>
      </c>
      <c r="L32" s="579">
        <f>M36+N36+O36+P36</f>
        <v>205.12820512820511</v>
      </c>
      <c r="M32" s="585" t="s">
        <v>64</v>
      </c>
      <c r="N32" s="574" t="s">
        <v>68</v>
      </c>
      <c r="O32" s="575" t="s">
        <v>72</v>
      </c>
      <c r="P32" s="576" t="s">
        <v>76</v>
      </c>
      <c r="Q32" s="195"/>
      <c r="R32" s="116"/>
    </row>
    <row r="33" spans="1:19" ht="15" customHeight="1">
      <c r="A33" s="116"/>
      <c r="B33" s="198"/>
      <c r="C33" s="207"/>
      <c r="D33" s="208"/>
      <c r="E33" s="144"/>
      <c r="F33" s="451"/>
      <c r="G33" s="451"/>
      <c r="H33" s="451" t="s">
        <v>139</v>
      </c>
      <c r="I33" s="221">
        <f>'2. Company Facts'!C38</f>
        <v>0</v>
      </c>
      <c r="J33" s="584"/>
      <c r="K33" s="578"/>
      <c r="L33" s="578"/>
      <c r="M33" s="585"/>
      <c r="N33" s="574"/>
      <c r="O33" s="575"/>
      <c r="P33" s="576"/>
      <c r="Q33" s="195"/>
      <c r="R33" s="116"/>
    </row>
    <row r="34" spans="1:19" ht="23.25" customHeight="1">
      <c r="A34" s="116"/>
      <c r="B34" s="198"/>
      <c r="C34" s="207"/>
      <c r="D34" s="208"/>
      <c r="E34" s="144"/>
      <c r="F34" s="145" t="s">
        <v>111</v>
      </c>
      <c r="G34" s="145" t="s">
        <v>112</v>
      </c>
      <c r="H34" s="454" t="s">
        <v>140</v>
      </c>
      <c r="I34" s="452" t="s">
        <v>141</v>
      </c>
      <c r="J34" s="584"/>
      <c r="K34" s="578"/>
      <c r="L34" s="578"/>
      <c r="M34" s="147"/>
      <c r="N34" s="148"/>
      <c r="O34" s="148"/>
      <c r="P34" s="149"/>
      <c r="Q34" s="195"/>
      <c r="R34" s="116"/>
    </row>
    <row r="35" spans="1:19" ht="15" customHeight="1">
      <c r="A35" s="116"/>
      <c r="B35" s="198"/>
      <c r="C35" s="207"/>
      <c r="D35" s="208"/>
      <c r="E35" s="144"/>
      <c r="F35" s="222" t="str">
        <f>'2. Company Facts'!B41</f>
        <v>Please choose</v>
      </c>
      <c r="G35" s="223">
        <f>'2. Company Facts'!C41</f>
        <v>0</v>
      </c>
      <c r="H35" s="454" t="str">
        <f>LEFT(F35,2)</f>
        <v>Pl</v>
      </c>
      <c r="I35" s="224">
        <f>'2. Company Facts'!D41</f>
        <v>0</v>
      </c>
      <c r="J35" s="584"/>
      <c r="K35" s="578"/>
      <c r="L35" s="578"/>
      <c r="M35" s="192">
        <f>'3. Calc'!D60</f>
        <v>1</v>
      </c>
      <c r="N35" s="193">
        <f>'3. Calc'!D64</f>
        <v>1</v>
      </c>
      <c r="O35" s="193">
        <f>'3. Calc'!D68</f>
        <v>1</v>
      </c>
      <c r="P35" s="194">
        <f>'3. Calc'!D72</f>
        <v>1</v>
      </c>
      <c r="Q35" s="195"/>
      <c r="R35" s="116"/>
    </row>
    <row r="36" spans="1:19" ht="15" customHeight="1">
      <c r="A36" s="116"/>
      <c r="B36" s="198"/>
      <c r="C36" s="207"/>
      <c r="D36" s="208"/>
      <c r="E36" s="144"/>
      <c r="F36" s="225" t="str">
        <f>'2. Company Facts'!B42</f>
        <v>Please choose</v>
      </c>
      <c r="G36" s="226">
        <f>'2. Company Facts'!C42</f>
        <v>0</v>
      </c>
      <c r="H36" s="454" t="str">
        <f>LEFT(F36,2)</f>
        <v>Pl</v>
      </c>
      <c r="I36" s="227">
        <f>'2. Company Facts'!D42</f>
        <v>0</v>
      </c>
      <c r="J36" s="584"/>
      <c r="K36" s="578"/>
      <c r="L36" s="578"/>
      <c r="M36" s="167">
        <f>M52</f>
        <v>51.282051282051277</v>
      </c>
      <c r="N36" s="168">
        <f>N52</f>
        <v>51.282051282051277</v>
      </c>
      <c r="O36" s="168">
        <f>O52</f>
        <v>51.282051282051277</v>
      </c>
      <c r="P36" s="169">
        <f>P52</f>
        <v>51.282051282051277</v>
      </c>
      <c r="Q36" s="195"/>
      <c r="R36" s="116"/>
    </row>
    <row r="37" spans="1:19" ht="15.75" customHeight="1">
      <c r="A37" s="116"/>
      <c r="B37" s="228"/>
      <c r="C37" s="229"/>
      <c r="D37" s="230"/>
      <c r="E37" s="179"/>
      <c r="F37" s="231" t="str">
        <f>'2. Company Facts'!B43</f>
        <v>Please choose</v>
      </c>
      <c r="G37" s="232">
        <f>'2. Company Facts'!C43</f>
        <v>0</v>
      </c>
      <c r="H37" s="454" t="str">
        <f>LEFT(F37,2)</f>
        <v>Pl</v>
      </c>
      <c r="I37" s="233">
        <f>'2. Company Facts'!D43</f>
        <v>0</v>
      </c>
      <c r="J37" s="584"/>
      <c r="K37" s="578"/>
      <c r="L37" s="578"/>
      <c r="M37" s="203">
        <f>'3. Calc'!C104</f>
        <v>1</v>
      </c>
      <c r="N37" s="203">
        <f>'3. Calc'!C104</f>
        <v>1</v>
      </c>
      <c r="O37" s="204">
        <f>VLOOKUP(S37,'3. Calc'!$B$102:$C$106,2,FALSE)</f>
        <v>1</v>
      </c>
      <c r="P37" s="205">
        <f>IFERROR(IF(I33="Ja",'3. Calc'!C103,'3. Calc'!C104),'3. Calc'!C104)</f>
        <v>1</v>
      </c>
      <c r="Q37" s="206"/>
      <c r="R37" s="116"/>
      <c r="S37" s="234">
        <f>VLOOKUP('10. Industry'!J39,F49:H53,3,FALSE)</f>
        <v>1</v>
      </c>
    </row>
    <row r="38" spans="1:19" ht="20.25" customHeight="1">
      <c r="A38" s="116"/>
      <c r="B38" s="228"/>
      <c r="C38" s="235"/>
      <c r="D38" s="228"/>
      <c r="E38" s="144"/>
      <c r="F38" s="144"/>
      <c r="G38" s="144"/>
      <c r="H38" s="144"/>
      <c r="I38" s="144"/>
      <c r="J38" s="577" t="s">
        <v>142</v>
      </c>
      <c r="K38" s="578">
        <v>1</v>
      </c>
      <c r="L38" s="579">
        <f>M42+N42+O42+P42</f>
        <v>205.12820512820511</v>
      </c>
      <c r="M38" s="580" t="s">
        <v>80</v>
      </c>
      <c r="N38" s="581" t="s">
        <v>84</v>
      </c>
      <c r="O38" s="581" t="s">
        <v>89</v>
      </c>
      <c r="P38" s="582" t="s">
        <v>93</v>
      </c>
      <c r="Q38" s="195"/>
      <c r="R38" s="116"/>
    </row>
    <row r="39" spans="1:19" ht="20.25" customHeight="1">
      <c r="A39" s="116"/>
      <c r="B39" s="228"/>
      <c r="C39" s="235"/>
      <c r="D39" s="228"/>
      <c r="E39" s="144"/>
      <c r="F39" s="144"/>
      <c r="G39" s="144"/>
      <c r="H39" s="144" t="str">
        <f>IF(AND(I26&lt;10,OR(I32&lt;=2000000,I23&lt;=2000000)),'12.lan'!D324,IF(AND(I26&lt;50,OR(I32&lt;=10000000,I23&lt;=10000000)),'12.lan'!D325,IF(AND(I26&lt;250,OR(I32&lt;=50000000,I23&lt;=43000000)),'12.lan'!D326,'12.lan'!D327)))</f>
        <v>Micro-business</v>
      </c>
      <c r="I39" s="144"/>
      <c r="J39" s="577"/>
      <c r="K39" s="578"/>
      <c r="L39" s="578"/>
      <c r="M39" s="580"/>
      <c r="N39" s="581"/>
      <c r="O39" s="581"/>
      <c r="P39" s="582"/>
      <c r="Q39" s="195"/>
      <c r="R39" s="116"/>
    </row>
    <row r="40" spans="1:19" ht="15" customHeight="1">
      <c r="A40" s="116"/>
      <c r="B40" s="228"/>
      <c r="C40" s="235"/>
      <c r="D40" s="228"/>
      <c r="E40" s="144"/>
      <c r="F40" s="144" t="s">
        <v>143</v>
      </c>
      <c r="G40" s="144"/>
      <c r="H40" s="144" t="str">
        <f>IF(AND(I26=0,I32=0,I23=0),'12.lan'!E326)</f>
        <v>Mittleres Unternehmen</v>
      </c>
      <c r="I40" s="144"/>
      <c r="J40" s="577"/>
      <c r="K40" s="578"/>
      <c r="L40" s="578"/>
      <c r="M40" s="147"/>
      <c r="N40" s="147"/>
      <c r="O40" s="147"/>
      <c r="P40" s="149"/>
      <c r="Q40" s="195"/>
      <c r="R40" s="116"/>
    </row>
    <row r="41" spans="1:19" ht="14.25" customHeight="1">
      <c r="A41" s="116"/>
      <c r="B41" s="228"/>
      <c r="C41" s="235"/>
      <c r="D41" s="228"/>
      <c r="E41" s="144"/>
      <c r="F41" s="144"/>
      <c r="G41" s="144"/>
      <c r="H41" s="144"/>
      <c r="I41" s="144"/>
      <c r="J41" s="577"/>
      <c r="K41" s="578"/>
      <c r="L41" s="578"/>
      <c r="M41" s="192">
        <f>'3. Calc'!D77</f>
        <v>1</v>
      </c>
      <c r="N41" s="193">
        <f>'3. Calc'!D81</f>
        <v>1</v>
      </c>
      <c r="O41" s="193">
        <f>'3. Calc'!D86</f>
        <v>1</v>
      </c>
      <c r="P41" s="194">
        <f>'3. Calc'!D90</f>
        <v>1</v>
      </c>
      <c r="Q41" s="195"/>
      <c r="R41" s="116"/>
    </row>
    <row r="42" spans="1:19" ht="15.75" customHeight="1">
      <c r="A42" s="116"/>
      <c r="B42" s="228"/>
      <c r="C42" s="229"/>
      <c r="D42" s="230"/>
      <c r="E42" s="179"/>
      <c r="F42" s="179"/>
      <c r="G42" s="179"/>
      <c r="H42" s="179"/>
      <c r="I42" s="179"/>
      <c r="J42" s="577"/>
      <c r="K42" s="578"/>
      <c r="L42" s="578"/>
      <c r="M42" s="236">
        <f>M53</f>
        <v>51.282051282051277</v>
      </c>
      <c r="N42" s="237">
        <f>N53</f>
        <v>51.282051282051277</v>
      </c>
      <c r="O42" s="237">
        <f>O53</f>
        <v>51.282051282051277</v>
      </c>
      <c r="P42" s="238">
        <f>P53</f>
        <v>51.282051282051277</v>
      </c>
      <c r="Q42" s="206"/>
      <c r="R42" s="116"/>
    </row>
    <row r="43" spans="1:19" ht="12.75" customHeight="1">
      <c r="A43" s="116"/>
      <c r="B43" s="118"/>
      <c r="C43" s="118"/>
      <c r="D43" s="118"/>
      <c r="E43" s="118"/>
      <c r="F43" s="118"/>
      <c r="G43" s="118"/>
      <c r="H43" s="118"/>
      <c r="I43" s="118"/>
      <c r="J43" s="118"/>
      <c r="K43" s="118"/>
      <c r="L43" s="118"/>
      <c r="M43" s="239">
        <f>'3. Calc'!C104</f>
        <v>1</v>
      </c>
      <c r="N43" s="239">
        <f>IF(I20="-",'3. Calc'!C104,IF(I20&lt;0.05,'3. Calc'!C105,IF(I20&lt;0.1,'3. Calc'!C104,IF(I20&gt;0.1,'3. Calc'!C103,'3. Calc'!C104))))</f>
        <v>1</v>
      </c>
      <c r="O43" s="239">
        <f>VLOOKUP(S37,'3. Calc'!$B$102:$C$106,2,FALSE)</f>
        <v>1</v>
      </c>
      <c r="P43" s="239">
        <f>IF(H35="B",'3. Calc'!C103,IF(H35="F",'3. Calc'!C103,IF(H40="Kleinstunternehmen",'3. Calc'!C105,IF(H40="Kleinunternehmen",'3. Calc'!C105,'3. Calc'!C104))))</f>
        <v>1</v>
      </c>
      <c r="Q43" s="118"/>
      <c r="R43" s="116"/>
      <c r="S43" s="116">
        <f>VLOOKUP('10. Industry'!L39,F49:H53,3,FALSE)</f>
        <v>1</v>
      </c>
    </row>
    <row r="44" spans="1:19" ht="24" customHeight="1">
      <c r="A44" s="116"/>
      <c r="B44" s="121"/>
      <c r="C44" s="121"/>
      <c r="D44" s="121"/>
      <c r="E44" s="121"/>
      <c r="F44" s="121"/>
      <c r="G44" s="121"/>
      <c r="H44" s="121"/>
      <c r="I44" s="121"/>
      <c r="J44" s="121"/>
      <c r="K44" s="121"/>
      <c r="L44" s="121"/>
      <c r="M44" s="121"/>
      <c r="N44" s="121"/>
      <c r="O44" s="121"/>
      <c r="P44" s="121"/>
      <c r="Q44" s="123"/>
      <c r="R44" s="116"/>
    </row>
    <row r="45" spans="1:19" ht="16.5" customHeight="1">
      <c r="A45" s="116"/>
      <c r="B45" s="132"/>
      <c r="C45" s="132"/>
      <c r="D45" s="132"/>
      <c r="E45" s="132"/>
      <c r="F45" s="132"/>
      <c r="G45" s="132"/>
      <c r="H45" s="132"/>
      <c r="I45" s="132"/>
      <c r="J45" s="132"/>
      <c r="K45" s="132"/>
      <c r="L45" s="132"/>
      <c r="M45" s="573" t="s">
        <v>144</v>
      </c>
      <c r="N45" s="573" t="s">
        <v>145</v>
      </c>
      <c r="O45" s="573" t="s">
        <v>101</v>
      </c>
      <c r="P45" s="573" t="s">
        <v>146</v>
      </c>
      <c r="Q45" s="127"/>
      <c r="R45" s="116"/>
    </row>
    <row r="46" spans="1:19" ht="24.75" customHeight="1">
      <c r="A46" s="116"/>
      <c r="B46" s="132"/>
      <c r="C46" s="132"/>
      <c r="D46" s="132"/>
      <c r="E46" s="132"/>
      <c r="F46" s="132"/>
      <c r="G46" s="132"/>
      <c r="H46" s="132"/>
      <c r="I46" s="132"/>
      <c r="J46" s="132"/>
      <c r="K46" s="132"/>
      <c r="L46" s="132"/>
      <c r="M46" s="573"/>
      <c r="N46" s="573"/>
      <c r="O46" s="573"/>
      <c r="P46" s="573"/>
      <c r="Q46" s="127"/>
      <c r="R46" s="116"/>
    </row>
    <row r="47" spans="1:19" ht="24.75" customHeight="1">
      <c r="A47" s="116"/>
      <c r="B47" s="132"/>
      <c r="C47" s="132"/>
      <c r="D47" s="132"/>
      <c r="E47" s="132"/>
      <c r="F47" s="132"/>
      <c r="G47" s="132"/>
      <c r="H47" s="132"/>
      <c r="I47" s="132"/>
      <c r="J47" s="132"/>
      <c r="K47" s="132"/>
      <c r="L47" s="132"/>
      <c r="M47" s="455"/>
      <c r="N47" s="455"/>
      <c r="O47" s="455"/>
      <c r="P47" s="455"/>
      <c r="Q47" s="127"/>
      <c r="R47" s="116"/>
    </row>
    <row r="48" spans="1:19" ht="26.25" customHeight="1">
      <c r="A48" s="116"/>
      <c r="B48" s="132"/>
      <c r="C48" s="132"/>
      <c r="D48" s="132"/>
      <c r="F48" s="144" t="s">
        <v>147</v>
      </c>
      <c r="G48" s="144"/>
      <c r="H48" s="144"/>
      <c r="I48" s="143"/>
      <c r="J48" s="143"/>
      <c r="K48" s="132"/>
      <c r="L48" s="132"/>
      <c r="M48" s="454"/>
      <c r="N48" s="454"/>
      <c r="O48" s="454"/>
      <c r="P48" s="454"/>
      <c r="Q48" s="127"/>
      <c r="R48" s="116"/>
    </row>
    <row r="49" spans="1:25" ht="18.75" customHeight="1">
      <c r="A49" s="116"/>
      <c r="B49" s="240"/>
      <c r="C49" s="240"/>
      <c r="D49" s="240"/>
      <c r="E49" s="240"/>
      <c r="F49" s="240" t="s">
        <v>148</v>
      </c>
      <c r="G49" s="241"/>
      <c r="H49" s="242">
        <v>0</v>
      </c>
      <c r="I49" s="243">
        <f>IFERROR((60*'11.Region'!G3/('11.Region'!G3+'11.Region'!G10+(I19+I21+I22+G24))*5),100)</f>
        <v>100</v>
      </c>
      <c r="J49" s="243">
        <f>IF(I49&lt;60,60,IF(I49&gt;300,300,I49))</f>
        <v>100</v>
      </c>
      <c r="K49" s="571" t="str">
        <f>IFERROR(IF(J49=60,"0,5",IF(J49=300,"2",IF(J49&lt;180.1,"1","1,5"))),"1")</f>
        <v>1</v>
      </c>
      <c r="L49" s="571"/>
      <c r="M49" s="244">
        <f t="shared" ref="M49:P53" si="0">M62/$Q$67*1000</f>
        <v>51.282051282051277</v>
      </c>
      <c r="N49" s="244">
        <f t="shared" si="0"/>
        <v>51.282051282051277</v>
      </c>
      <c r="O49" s="244">
        <f t="shared" si="0"/>
        <v>51.282051282051277</v>
      </c>
      <c r="P49" s="244">
        <f t="shared" si="0"/>
        <v>25.641025641025639</v>
      </c>
      <c r="Q49" s="245">
        <f>SUM(M49:P49)</f>
        <v>179.48717948717947</v>
      </c>
      <c r="R49" s="116"/>
    </row>
    <row r="50" spans="1:25" ht="18.75" customHeight="1">
      <c r="A50" s="116"/>
      <c r="B50" s="144"/>
      <c r="C50" s="144"/>
      <c r="D50" s="144"/>
      <c r="E50" s="144"/>
      <c r="F50" s="144" t="s">
        <v>149</v>
      </c>
      <c r="G50" s="246"/>
      <c r="H50" s="144">
        <v>0.5</v>
      </c>
      <c r="I50" s="243">
        <f>IFERROR((60*(I19+I21+I22+G24)/('11.Region'!G3+'11.Region'!G10+(I19+I21+I22+G24))*10),100)</f>
        <v>100</v>
      </c>
      <c r="J50" s="243">
        <f>IF(I50&lt;60,60,IF(I50&gt;300,300,I50))</f>
        <v>100</v>
      </c>
      <c r="K50" s="571" t="str">
        <f>IFERROR(IF(J50=60,"0,5",IF(J50=300,"2",IF(J50&lt;180.1,"1","1,5"))),"1")</f>
        <v>1</v>
      </c>
      <c r="L50" s="571"/>
      <c r="M50" s="244">
        <f t="shared" si="0"/>
        <v>51.282051282051277</v>
      </c>
      <c r="N50" s="244">
        <f t="shared" si="0"/>
        <v>51.282051282051277</v>
      </c>
      <c r="O50" s="244">
        <f t="shared" si="0"/>
        <v>51.282051282051277</v>
      </c>
      <c r="P50" s="244">
        <f t="shared" si="0"/>
        <v>51.282051282051277</v>
      </c>
      <c r="Q50" s="245">
        <f>SUM(M50:P50)</f>
        <v>205.12820512820511</v>
      </c>
      <c r="R50" s="116"/>
    </row>
    <row r="51" spans="1:25" ht="18.75" customHeight="1">
      <c r="A51" s="116"/>
      <c r="B51" s="144"/>
      <c r="C51" s="144"/>
      <c r="D51" s="144"/>
      <c r="E51" s="144"/>
      <c r="F51" s="144" t="s">
        <v>150</v>
      </c>
      <c r="G51" s="246"/>
      <c r="H51" s="144">
        <v>1</v>
      </c>
      <c r="I51" s="243">
        <f>IFERROR((60*'11.Region'!G10/('11.Region'!G3+'11.Region'!G10+(I19+I21+I22+G24))*10),100)</f>
        <v>100</v>
      </c>
      <c r="J51" s="243">
        <f>IF(I51&lt;60,60,IF(I51&gt;300,300,I51))</f>
        <v>100</v>
      </c>
      <c r="K51" s="571" t="str">
        <f>IFERROR(IF(J51=60,"0,5",IF(J51=300,"2",IF(J51&lt;180.1,"1","1,5"))),"1")</f>
        <v>1</v>
      </c>
      <c r="L51" s="571"/>
      <c r="M51" s="244">
        <f t="shared" si="0"/>
        <v>51.282051282051277</v>
      </c>
      <c r="N51" s="244">
        <f t="shared" si="0"/>
        <v>51.282051282051277</v>
      </c>
      <c r="O51" s="244">
        <f t="shared" si="0"/>
        <v>51.282051282051277</v>
      </c>
      <c r="P51" s="244">
        <f t="shared" si="0"/>
        <v>51.282051282051277</v>
      </c>
      <c r="Q51" s="245">
        <f>SUM(M51:P51)</f>
        <v>205.12820512820511</v>
      </c>
      <c r="R51" s="116"/>
    </row>
    <row r="52" spans="1:25" ht="18.75" customHeight="1">
      <c r="A52" s="116"/>
      <c r="B52" s="144"/>
      <c r="C52" s="144"/>
      <c r="D52" s="144"/>
      <c r="E52" s="144"/>
      <c r="F52" s="144" t="s">
        <v>151</v>
      </c>
      <c r="G52" s="246"/>
      <c r="H52" s="144">
        <v>1.5</v>
      </c>
      <c r="I52" s="144"/>
      <c r="J52" s="144"/>
      <c r="K52" s="571">
        <f>K32</f>
        <v>1</v>
      </c>
      <c r="L52" s="571"/>
      <c r="M52" s="244">
        <f t="shared" si="0"/>
        <v>51.282051282051277</v>
      </c>
      <c r="N52" s="244">
        <f t="shared" si="0"/>
        <v>51.282051282051277</v>
      </c>
      <c r="O52" s="244">
        <f t="shared" si="0"/>
        <v>51.282051282051277</v>
      </c>
      <c r="P52" s="244">
        <f t="shared" si="0"/>
        <v>51.282051282051277</v>
      </c>
      <c r="Q52" s="245">
        <f>SUM(M52:P52)</f>
        <v>205.12820512820511</v>
      </c>
      <c r="R52" s="116"/>
    </row>
    <row r="53" spans="1:25" ht="18.75" customHeight="1">
      <c r="A53" s="116"/>
      <c r="B53" s="144"/>
      <c r="C53" s="144"/>
      <c r="D53" s="144"/>
      <c r="E53" s="144"/>
      <c r="F53" s="144" t="s">
        <v>152</v>
      </c>
      <c r="G53" s="246"/>
      <c r="H53" s="144">
        <v>2</v>
      </c>
      <c r="I53" s="144"/>
      <c r="J53" s="144"/>
      <c r="K53" s="571">
        <f>K38</f>
        <v>1</v>
      </c>
      <c r="L53" s="571"/>
      <c r="M53" s="244">
        <f t="shared" si="0"/>
        <v>51.282051282051277</v>
      </c>
      <c r="N53" s="244">
        <f t="shared" si="0"/>
        <v>51.282051282051277</v>
      </c>
      <c r="O53" s="244">
        <f t="shared" si="0"/>
        <v>51.282051282051277</v>
      </c>
      <c r="P53" s="244">
        <f t="shared" si="0"/>
        <v>51.282051282051277</v>
      </c>
      <c r="Q53" s="245">
        <f>SUM(M53:P53)</f>
        <v>205.12820512820511</v>
      </c>
      <c r="R53" s="116"/>
    </row>
    <row r="54" spans="1:25" ht="18.75" customHeight="1">
      <c r="A54" s="116"/>
      <c r="B54" s="247"/>
      <c r="C54" s="247"/>
      <c r="D54" s="247"/>
      <c r="E54" s="247"/>
      <c r="F54" s="247"/>
      <c r="G54" s="247"/>
      <c r="H54" s="247"/>
      <c r="I54" s="247"/>
      <c r="J54" s="247"/>
      <c r="K54" s="247"/>
      <c r="L54" s="247"/>
      <c r="M54" s="248">
        <f>SUM(M49:M53)</f>
        <v>256.41025641025641</v>
      </c>
      <c r="N54" s="248">
        <f>SUM(N49:N53)</f>
        <v>256.41025641025641</v>
      </c>
      <c r="O54" s="248">
        <f>SUM(O49:O53)</f>
        <v>256.41025641025641</v>
      </c>
      <c r="P54" s="248">
        <f>SUM(P49:P53)</f>
        <v>230.76923076923075</v>
      </c>
      <c r="Q54" s="249">
        <f>SUM(Q49:Q53)</f>
        <v>999.99999999999989</v>
      </c>
      <c r="R54" s="116"/>
    </row>
    <row r="55" spans="1:25" ht="18.75" customHeight="1">
      <c r="A55" s="116"/>
      <c r="B55" s="116"/>
      <c r="C55" s="116"/>
      <c r="D55" s="116"/>
      <c r="E55" s="116"/>
      <c r="F55" s="116"/>
      <c r="G55" s="116"/>
      <c r="H55" s="116"/>
      <c r="I55" s="116"/>
      <c r="J55" s="116"/>
      <c r="K55" s="116"/>
      <c r="L55" s="116"/>
      <c r="M55" s="117"/>
      <c r="N55" s="117"/>
      <c r="O55" s="117"/>
      <c r="P55" s="117"/>
      <c r="Q55" s="116"/>
      <c r="R55" s="116"/>
    </row>
    <row r="56" spans="1:25" ht="24.75" customHeight="1">
      <c r="A56" s="116"/>
      <c r="B56" s="116"/>
      <c r="C56" s="116"/>
      <c r="D56" s="116"/>
      <c r="E56" s="116"/>
      <c r="F56" s="116"/>
      <c r="G56" s="116"/>
      <c r="H56" s="116"/>
      <c r="I56" s="116"/>
      <c r="J56" s="116"/>
      <c r="K56" s="116"/>
      <c r="L56" s="116"/>
      <c r="M56" s="117"/>
      <c r="N56" s="117"/>
      <c r="O56" s="117"/>
      <c r="P56" s="117"/>
      <c r="Q56" s="116"/>
      <c r="R56" s="116"/>
    </row>
    <row r="57" spans="1:25" ht="24.75" customHeight="1">
      <c r="A57" s="116"/>
      <c r="B57" s="116"/>
      <c r="C57" s="116"/>
      <c r="D57" s="116"/>
      <c r="E57" s="116"/>
      <c r="F57" s="116"/>
      <c r="G57" s="116"/>
      <c r="H57" s="116"/>
      <c r="I57" s="116"/>
      <c r="J57" s="116"/>
      <c r="K57" s="116"/>
      <c r="L57" s="116"/>
      <c r="M57" s="117"/>
      <c r="N57" s="117"/>
      <c r="O57" s="117"/>
      <c r="P57" s="117"/>
      <c r="Q57" s="116"/>
      <c r="R57" s="116"/>
    </row>
    <row r="58" spans="1:25" ht="27.75" customHeight="1">
      <c r="A58" s="116"/>
      <c r="B58" s="572"/>
      <c r="C58" s="572"/>
      <c r="D58" s="572"/>
      <c r="E58" s="572"/>
      <c r="F58" s="572"/>
      <c r="G58" s="572"/>
      <c r="H58" s="572"/>
      <c r="I58" s="572"/>
      <c r="J58" s="572"/>
      <c r="K58" s="572"/>
      <c r="L58" s="572"/>
      <c r="M58" s="572"/>
      <c r="N58" s="572"/>
      <c r="O58" s="572"/>
      <c r="P58" s="572"/>
      <c r="Q58" s="572"/>
      <c r="R58" s="118"/>
      <c r="S58" s="118"/>
    </row>
    <row r="59" spans="1:25" ht="27.75" customHeight="1">
      <c r="A59" s="116"/>
      <c r="B59" s="132"/>
      <c r="C59" s="132"/>
      <c r="D59" s="132"/>
      <c r="E59" s="132"/>
      <c r="F59" s="132"/>
      <c r="G59" s="132"/>
      <c r="H59" s="132"/>
      <c r="I59" s="132"/>
      <c r="J59" s="132"/>
      <c r="K59" s="132"/>
      <c r="L59" s="132"/>
      <c r="M59" s="455" t="s">
        <v>144</v>
      </c>
      <c r="N59" s="455" t="s">
        <v>145</v>
      </c>
      <c r="O59" s="455" t="s">
        <v>101</v>
      </c>
      <c r="P59" s="455" t="s">
        <v>146</v>
      </c>
      <c r="Q59" s="127"/>
      <c r="R59" s="118"/>
      <c r="S59" s="118"/>
    </row>
    <row r="60" spans="1:25" ht="19.5" customHeight="1">
      <c r="A60" s="116"/>
      <c r="B60" s="132"/>
      <c r="C60" s="132"/>
      <c r="D60" s="132"/>
      <c r="E60" s="132"/>
      <c r="F60" s="132"/>
      <c r="G60" s="132"/>
      <c r="H60" s="132"/>
      <c r="I60" s="132"/>
      <c r="J60" s="132"/>
      <c r="K60" s="132"/>
      <c r="L60" s="132"/>
      <c r="M60" s="455"/>
      <c r="N60" s="455"/>
      <c r="O60" s="455"/>
      <c r="P60" s="455"/>
      <c r="Q60" s="127"/>
      <c r="R60" s="116"/>
    </row>
    <row r="61" spans="1:25" s="250" customFormat="1" ht="23.25" customHeight="1">
      <c r="A61" s="118"/>
      <c r="B61" s="132"/>
      <c r="C61" s="132"/>
      <c r="D61" s="132"/>
      <c r="E61" s="132"/>
      <c r="F61" s="132"/>
      <c r="G61" s="132"/>
      <c r="H61" s="132"/>
      <c r="I61" s="132"/>
      <c r="J61" s="132"/>
      <c r="K61" s="132"/>
      <c r="L61" s="132"/>
      <c r="M61" s="454">
        <v>1</v>
      </c>
      <c r="N61" s="454">
        <v>1</v>
      </c>
      <c r="O61" s="454">
        <v>1</v>
      </c>
      <c r="P61" s="454">
        <v>1</v>
      </c>
      <c r="Q61" s="127"/>
      <c r="R61" s="116"/>
      <c r="S61" s="116"/>
      <c r="T61" s="118"/>
      <c r="U61" s="118"/>
      <c r="V61" s="118"/>
      <c r="W61" s="118"/>
      <c r="X61" s="118"/>
      <c r="Y61" s="118"/>
    </row>
    <row r="62" spans="1:25" s="250" customFormat="1" ht="54" customHeight="1">
      <c r="A62" s="118"/>
      <c r="B62" s="240"/>
      <c r="C62" s="240"/>
      <c r="D62" s="240"/>
      <c r="E62" s="240"/>
      <c r="F62" s="240"/>
      <c r="G62" s="240"/>
      <c r="H62" s="240"/>
      <c r="I62" s="240"/>
      <c r="J62" s="240"/>
      <c r="K62" s="251" t="str">
        <f>K49</f>
        <v>1</v>
      </c>
      <c r="L62" s="251"/>
      <c r="M62" s="252">
        <f>M14*$K$62</f>
        <v>1</v>
      </c>
      <c r="N62" s="252">
        <f>N14*$K$62</f>
        <v>1</v>
      </c>
      <c r="O62" s="252">
        <f>O14*$K$62</f>
        <v>1</v>
      </c>
      <c r="P62" s="252">
        <f>P14*$K$62</f>
        <v>0.5</v>
      </c>
      <c r="Q62" s="245">
        <f>SUM(M62:P62)</f>
        <v>3.5</v>
      </c>
      <c r="R62" s="116"/>
      <c r="S62" s="116"/>
      <c r="T62" s="118"/>
      <c r="U62" s="118"/>
      <c r="V62" s="118"/>
      <c r="W62" s="118"/>
      <c r="X62" s="118"/>
      <c r="Y62" s="118"/>
    </row>
    <row r="63" spans="1:25" ht="27" customHeight="1">
      <c r="A63" s="116"/>
      <c r="B63" s="144"/>
      <c r="C63" s="144"/>
      <c r="D63" s="144"/>
      <c r="E63" s="144"/>
      <c r="F63" s="144"/>
      <c r="G63" s="144"/>
      <c r="H63" s="144"/>
      <c r="I63" s="144"/>
      <c r="J63" s="144"/>
      <c r="K63" s="251" t="str">
        <f>K50</f>
        <v>1</v>
      </c>
      <c r="L63" s="251"/>
      <c r="M63" s="252">
        <f>M22*$K$63</f>
        <v>1</v>
      </c>
      <c r="N63" s="252">
        <f>N22*$K$63</f>
        <v>1</v>
      </c>
      <c r="O63" s="252">
        <f>O22*$K$63</f>
        <v>1</v>
      </c>
      <c r="P63" s="252">
        <f>P22*$K$63</f>
        <v>1</v>
      </c>
      <c r="Q63" s="245">
        <f>SUM(M63:P63)</f>
        <v>4</v>
      </c>
      <c r="R63" s="116"/>
    </row>
    <row r="64" spans="1:25" ht="29.25" customHeight="1">
      <c r="A64" s="116"/>
      <c r="B64" s="144"/>
      <c r="C64" s="144"/>
      <c r="D64" s="144"/>
      <c r="E64" s="144"/>
      <c r="F64" s="144"/>
      <c r="G64" s="144"/>
      <c r="H64" s="144"/>
      <c r="I64" s="144"/>
      <c r="J64" s="144"/>
      <c r="K64" s="251" t="str">
        <f>K51</f>
        <v>1</v>
      </c>
      <c r="L64" s="251"/>
      <c r="M64" s="252">
        <f>M28*$K$64</f>
        <v>1</v>
      </c>
      <c r="N64" s="252">
        <f>N28*$K$64</f>
        <v>1</v>
      </c>
      <c r="O64" s="252">
        <f>O28*$K$64</f>
        <v>1</v>
      </c>
      <c r="P64" s="252">
        <f>P28*$K$64</f>
        <v>1</v>
      </c>
      <c r="Q64" s="245">
        <f>SUM(M64:P64)</f>
        <v>4</v>
      </c>
      <c r="R64" s="116"/>
    </row>
    <row r="65" spans="1:18" ht="24" customHeight="1">
      <c r="A65" s="116"/>
      <c r="B65" s="144"/>
      <c r="C65" s="144"/>
      <c r="D65" s="144"/>
      <c r="E65" s="144"/>
      <c r="F65" s="144"/>
      <c r="G65" s="144"/>
      <c r="H65" s="144"/>
      <c r="I65" s="144"/>
      <c r="J65" s="144"/>
      <c r="K65" s="251">
        <f>K52</f>
        <v>1</v>
      </c>
      <c r="L65" s="240"/>
      <c r="M65" s="252">
        <f>M35</f>
        <v>1</v>
      </c>
      <c r="N65" s="252">
        <f>N35</f>
        <v>1</v>
      </c>
      <c r="O65" s="252">
        <f>O35</f>
        <v>1</v>
      </c>
      <c r="P65" s="252">
        <f>P35</f>
        <v>1</v>
      </c>
      <c r="Q65" s="245">
        <f>SUM(M65:P65)</f>
        <v>4</v>
      </c>
      <c r="R65" s="116"/>
    </row>
    <row r="66" spans="1:18" ht="24" customHeight="1">
      <c r="A66" s="116"/>
      <c r="B66" s="144"/>
      <c r="C66" s="144"/>
      <c r="D66" s="144"/>
      <c r="E66" s="144"/>
      <c r="F66" s="144"/>
      <c r="G66" s="144"/>
      <c r="H66" s="144"/>
      <c r="I66" s="144"/>
      <c r="J66" s="144"/>
      <c r="K66" s="251">
        <f>K53</f>
        <v>1</v>
      </c>
      <c r="L66" s="240"/>
      <c r="M66" s="252">
        <f>M41</f>
        <v>1</v>
      </c>
      <c r="N66" s="252">
        <f>N41</f>
        <v>1</v>
      </c>
      <c r="O66" s="252">
        <f>O41</f>
        <v>1</v>
      </c>
      <c r="P66" s="252">
        <f>P41</f>
        <v>1</v>
      </c>
      <c r="Q66" s="245">
        <f>SUM(M66:P66)</f>
        <v>4</v>
      </c>
      <c r="R66" s="116"/>
    </row>
    <row r="67" spans="1:18" ht="24" customHeight="1">
      <c r="A67" s="116"/>
      <c r="B67" s="247"/>
      <c r="C67" s="247"/>
      <c r="D67" s="247"/>
      <c r="E67" s="247"/>
      <c r="F67" s="247"/>
      <c r="G67" s="247"/>
      <c r="H67" s="247"/>
      <c r="I67" s="247"/>
      <c r="J67" s="247"/>
      <c r="K67" s="247"/>
      <c r="L67" s="247"/>
      <c r="M67" s="248">
        <f>SUM(M62:M66)</f>
        <v>5</v>
      </c>
      <c r="N67" s="248">
        <f>SUM(N62:N66)</f>
        <v>5</v>
      </c>
      <c r="O67" s="248">
        <f>SUM(O62:O66)</f>
        <v>5</v>
      </c>
      <c r="P67" s="248">
        <f>SUM(P62:P66)</f>
        <v>4.5</v>
      </c>
      <c r="Q67" s="249">
        <f>SUM(Q62:Q66)</f>
        <v>19.5</v>
      </c>
      <c r="R67" s="116"/>
    </row>
    <row r="68" spans="1:18" ht="24" customHeight="1">
      <c r="A68" s="116"/>
      <c r="B68" s="116"/>
      <c r="C68" s="116"/>
      <c r="D68" s="116"/>
      <c r="E68" s="116"/>
      <c r="F68" s="116"/>
      <c r="G68" s="116"/>
      <c r="H68" s="116"/>
      <c r="I68" s="116"/>
      <c r="J68" s="116"/>
      <c r="K68" s="116"/>
      <c r="L68" s="116"/>
      <c r="M68" s="117"/>
      <c r="N68" s="117"/>
      <c r="O68" s="117"/>
      <c r="P68" s="117"/>
      <c r="Q68" s="116"/>
      <c r="R68" s="116"/>
    </row>
    <row r="69" spans="1:18" ht="36" customHeight="1">
      <c r="A69" s="116"/>
      <c r="B69" s="116"/>
      <c r="C69" s="116"/>
      <c r="D69" s="116"/>
      <c r="E69" s="116"/>
      <c r="F69" s="116"/>
      <c r="G69" s="116"/>
      <c r="H69" s="116"/>
      <c r="I69" s="116"/>
      <c r="J69" s="116"/>
      <c r="K69" s="116"/>
      <c r="L69" s="116"/>
      <c r="M69" s="117"/>
      <c r="N69" s="117"/>
      <c r="O69" s="117"/>
      <c r="P69" s="117"/>
      <c r="Q69" s="116"/>
      <c r="R69" s="116"/>
    </row>
    <row r="70" spans="1:18" ht="24" customHeight="1">
      <c r="A70" s="116"/>
      <c r="B70" s="116" t="s">
        <v>153</v>
      </c>
      <c r="C70" s="116"/>
      <c r="D70" s="116"/>
      <c r="E70" s="116"/>
      <c r="F70" s="116"/>
      <c r="G70" s="116"/>
      <c r="H70" s="116"/>
      <c r="I70" s="116"/>
      <c r="J70" s="116"/>
      <c r="K70" s="116"/>
      <c r="L70" s="116"/>
      <c r="M70" s="117"/>
      <c r="N70" s="117"/>
      <c r="O70" s="117"/>
      <c r="P70" s="117"/>
      <c r="Q70" s="116"/>
      <c r="R70" s="116"/>
    </row>
    <row r="71" spans="1:18" ht="12" customHeight="1">
      <c r="A71" s="116"/>
      <c r="B71" s="116"/>
      <c r="C71" s="116"/>
      <c r="D71" s="116"/>
      <c r="E71" s="116"/>
      <c r="F71" s="116"/>
      <c r="G71" s="116"/>
      <c r="H71" s="116"/>
      <c r="I71" s="116"/>
      <c r="J71" s="116"/>
      <c r="K71" s="116"/>
      <c r="L71" s="116"/>
      <c r="M71" s="117"/>
      <c r="N71" s="117"/>
      <c r="O71" s="117"/>
      <c r="P71" s="117"/>
      <c r="Q71" s="116"/>
      <c r="R71" s="116"/>
    </row>
    <row r="72" spans="1:18" ht="12" customHeight="1">
      <c r="A72" s="116"/>
      <c r="B72" s="116"/>
      <c r="C72" s="116"/>
      <c r="D72" s="116"/>
      <c r="E72" s="116"/>
      <c r="F72" s="116"/>
      <c r="G72" s="116"/>
      <c r="H72" s="116"/>
      <c r="I72" s="116"/>
      <c r="J72" s="116"/>
      <c r="K72" s="116"/>
      <c r="L72" s="116"/>
      <c r="M72" s="117"/>
      <c r="N72" s="117"/>
      <c r="O72" s="117"/>
      <c r="P72" s="117"/>
      <c r="Q72" s="116"/>
      <c r="R72" s="116"/>
    </row>
    <row r="73" spans="1:18" ht="12" customHeight="1">
      <c r="A73" s="116"/>
      <c r="B73" s="116"/>
      <c r="C73" s="116"/>
      <c r="D73" s="116"/>
      <c r="E73" s="116"/>
      <c r="F73" s="116"/>
      <c r="G73" s="116"/>
      <c r="H73" s="116"/>
      <c r="I73" s="116"/>
      <c r="J73" s="116"/>
      <c r="K73" s="116"/>
      <c r="L73" s="116"/>
      <c r="M73" s="117"/>
      <c r="N73" s="117"/>
      <c r="O73" s="117"/>
      <c r="P73" s="117"/>
      <c r="Q73" s="116"/>
      <c r="R73" s="116"/>
    </row>
    <row r="74" spans="1:18" ht="12" customHeight="1">
      <c r="A74" s="116"/>
    </row>
    <row r="75" spans="1:18" ht="12" customHeight="1">
      <c r="A75" s="116"/>
    </row>
    <row r="76" spans="1:18" ht="12" customHeight="1">
      <c r="A76" s="116"/>
    </row>
    <row r="119" spans="1:18" ht="12" customHeight="1">
      <c r="A119" s="116"/>
      <c r="B119" s="116"/>
      <c r="C119" s="116"/>
      <c r="D119" s="116"/>
      <c r="E119" s="116"/>
      <c r="F119" s="116"/>
      <c r="G119" s="116"/>
      <c r="H119" s="116"/>
      <c r="I119" s="116"/>
      <c r="J119" s="116"/>
      <c r="K119" s="116"/>
      <c r="L119" s="116"/>
      <c r="M119" s="117"/>
      <c r="N119" s="117"/>
      <c r="O119" s="117"/>
      <c r="P119" s="117"/>
      <c r="Q119" s="116"/>
      <c r="R119" s="116"/>
    </row>
    <row r="120" spans="1:18" ht="12" customHeight="1">
      <c r="A120" s="116"/>
      <c r="B120" s="116"/>
      <c r="C120" s="116"/>
      <c r="D120" s="116"/>
      <c r="E120" s="116"/>
      <c r="F120" s="116"/>
      <c r="G120" s="116"/>
      <c r="H120" s="116"/>
      <c r="I120" s="116"/>
      <c r="J120" s="116"/>
      <c r="K120" s="116"/>
      <c r="L120" s="116"/>
      <c r="M120" s="117"/>
      <c r="N120" s="117"/>
      <c r="O120" s="117"/>
      <c r="P120" s="117"/>
      <c r="Q120" s="116"/>
      <c r="R120" s="116"/>
    </row>
    <row r="121" spans="1:18" ht="12" customHeight="1">
      <c r="A121" s="116"/>
      <c r="B121" s="116"/>
      <c r="C121" s="116"/>
      <c r="D121" s="116"/>
      <c r="E121" s="116"/>
      <c r="F121" s="116"/>
      <c r="G121" s="116"/>
      <c r="H121" s="116"/>
      <c r="I121" s="116"/>
      <c r="J121" s="116"/>
      <c r="K121" s="116"/>
      <c r="L121" s="116"/>
      <c r="M121" s="117"/>
      <c r="N121" s="117"/>
      <c r="O121" s="117"/>
      <c r="P121" s="117"/>
      <c r="Q121" s="116"/>
      <c r="R121" s="116"/>
    </row>
    <row r="122" spans="1:18" ht="12" customHeight="1">
      <c r="A122" s="116"/>
      <c r="B122" s="116"/>
      <c r="C122" s="116"/>
      <c r="D122" s="116"/>
      <c r="E122" s="116"/>
      <c r="F122" s="116"/>
      <c r="G122" s="116"/>
      <c r="H122" s="116"/>
      <c r="I122" s="116"/>
      <c r="J122" s="116"/>
      <c r="K122" s="116"/>
      <c r="L122" s="116"/>
      <c r="M122" s="117"/>
      <c r="N122" s="117"/>
      <c r="O122" s="117"/>
      <c r="P122" s="117"/>
      <c r="Q122" s="116"/>
      <c r="R122" s="116"/>
    </row>
    <row r="123" spans="1:18" ht="12" customHeight="1">
      <c r="A123" s="116"/>
      <c r="B123" s="116"/>
      <c r="C123" s="116"/>
      <c r="D123" s="116"/>
      <c r="E123" s="116"/>
      <c r="F123" s="116"/>
      <c r="G123" s="116"/>
      <c r="H123" s="116"/>
      <c r="I123" s="116"/>
      <c r="J123" s="116"/>
      <c r="K123" s="116"/>
      <c r="L123" s="116"/>
      <c r="M123" s="117"/>
      <c r="N123" s="117"/>
      <c r="O123" s="117"/>
      <c r="P123" s="117"/>
      <c r="Q123" s="116"/>
      <c r="R123" s="116"/>
    </row>
    <row r="124" spans="1:18" ht="12" customHeight="1">
      <c r="A124" s="116"/>
      <c r="B124" s="116"/>
      <c r="C124" s="116"/>
      <c r="D124" s="116"/>
      <c r="E124" s="116"/>
      <c r="F124" s="116"/>
      <c r="G124" s="116"/>
      <c r="H124" s="116"/>
      <c r="I124" s="116"/>
      <c r="J124" s="116"/>
      <c r="K124" s="116"/>
      <c r="L124" s="116"/>
      <c r="M124" s="117"/>
      <c r="N124" s="117"/>
      <c r="O124" s="117"/>
      <c r="P124" s="117"/>
      <c r="Q124" s="116"/>
      <c r="R124" s="116"/>
    </row>
    <row r="125" spans="1:18" ht="12" customHeight="1">
      <c r="A125" s="116"/>
      <c r="B125" s="116"/>
      <c r="C125" s="116"/>
      <c r="D125" s="116"/>
      <c r="E125" s="116"/>
      <c r="F125" s="116"/>
      <c r="G125" s="116"/>
      <c r="H125" s="116"/>
      <c r="I125" s="116"/>
      <c r="J125" s="116"/>
      <c r="K125" s="116"/>
      <c r="L125" s="116"/>
      <c r="M125" s="117"/>
      <c r="N125" s="117"/>
      <c r="O125" s="117"/>
      <c r="P125" s="117"/>
      <c r="Q125" s="116"/>
      <c r="R125" s="116"/>
    </row>
    <row r="126" spans="1:18" ht="12" customHeight="1">
      <c r="A126" s="116"/>
      <c r="B126" s="116"/>
      <c r="C126" s="116"/>
      <c r="D126" s="116"/>
      <c r="E126" s="116"/>
      <c r="F126" s="116"/>
      <c r="G126" s="116"/>
      <c r="H126" s="116"/>
      <c r="I126" s="116"/>
      <c r="J126" s="116"/>
      <c r="K126" s="116"/>
      <c r="L126" s="116"/>
      <c r="M126" s="117"/>
      <c r="N126" s="117"/>
      <c r="O126" s="117"/>
      <c r="P126" s="117"/>
      <c r="Q126" s="116"/>
      <c r="R126" s="116"/>
    </row>
    <row r="127" spans="1:18" ht="12" customHeight="1">
      <c r="A127" s="116"/>
      <c r="B127" s="116"/>
      <c r="C127" s="116"/>
      <c r="D127" s="116"/>
      <c r="E127" s="116"/>
      <c r="F127" s="116"/>
      <c r="G127" s="116"/>
      <c r="H127" s="116"/>
      <c r="I127" s="116"/>
      <c r="J127" s="116"/>
      <c r="K127" s="116"/>
      <c r="L127" s="116"/>
      <c r="M127" s="117"/>
      <c r="N127" s="117"/>
      <c r="O127" s="117"/>
      <c r="P127" s="117"/>
      <c r="Q127" s="116"/>
      <c r="R127" s="116"/>
    </row>
    <row r="128" spans="1:18" ht="12" customHeight="1">
      <c r="A128" s="116"/>
      <c r="B128" s="116"/>
      <c r="C128" s="116"/>
      <c r="D128" s="116"/>
      <c r="E128" s="116"/>
      <c r="F128" s="116"/>
      <c r="G128" s="116"/>
      <c r="H128" s="116"/>
      <c r="I128" s="116"/>
      <c r="J128" s="116"/>
      <c r="K128" s="116"/>
      <c r="L128" s="116"/>
      <c r="M128" s="117"/>
      <c r="N128" s="117"/>
      <c r="O128" s="117"/>
      <c r="P128" s="117"/>
      <c r="Q128" s="116"/>
      <c r="R128" s="116"/>
    </row>
    <row r="129" spans="1:18" ht="12" customHeight="1">
      <c r="A129" s="116"/>
      <c r="B129" s="116"/>
      <c r="C129" s="116"/>
      <c r="D129" s="116"/>
      <c r="E129" s="116"/>
      <c r="F129" s="116"/>
      <c r="G129" s="116"/>
      <c r="H129" s="116"/>
      <c r="I129" s="116"/>
      <c r="J129" s="116"/>
      <c r="K129" s="116"/>
      <c r="L129" s="116"/>
      <c r="M129" s="117"/>
      <c r="N129" s="117"/>
      <c r="O129" s="117"/>
      <c r="P129" s="117"/>
      <c r="Q129" s="116"/>
      <c r="R129" s="116"/>
    </row>
    <row r="130" spans="1:18" ht="12" customHeight="1">
      <c r="A130" s="116"/>
      <c r="B130" s="116"/>
      <c r="C130" s="116"/>
      <c r="D130" s="116"/>
      <c r="E130" s="116"/>
      <c r="F130" s="116"/>
      <c r="G130" s="116"/>
      <c r="H130" s="116"/>
      <c r="I130" s="116"/>
      <c r="J130" s="116"/>
      <c r="K130" s="116"/>
      <c r="L130" s="116"/>
      <c r="M130" s="117"/>
      <c r="N130" s="117"/>
      <c r="O130" s="117"/>
      <c r="P130" s="117"/>
      <c r="Q130" s="116"/>
      <c r="R130" s="116"/>
    </row>
    <row r="131" spans="1:18" ht="12" customHeight="1">
      <c r="A131" s="116"/>
      <c r="B131" s="116"/>
      <c r="C131" s="116"/>
      <c r="D131" s="116"/>
      <c r="E131" s="116"/>
      <c r="F131" s="116"/>
      <c r="G131" s="116"/>
      <c r="H131" s="116"/>
      <c r="I131" s="116"/>
      <c r="J131" s="116"/>
      <c r="K131" s="116"/>
      <c r="L131" s="116"/>
      <c r="M131" s="117"/>
      <c r="N131" s="117"/>
      <c r="O131" s="117"/>
      <c r="P131" s="117"/>
      <c r="Q131" s="116"/>
      <c r="R131" s="116"/>
    </row>
    <row r="132" spans="1:18" ht="12" customHeight="1">
      <c r="A132" s="116"/>
      <c r="B132" s="116"/>
      <c r="C132" s="116"/>
      <c r="D132" s="116"/>
      <c r="E132" s="116"/>
      <c r="F132" s="116"/>
      <c r="G132" s="116"/>
      <c r="H132" s="116"/>
      <c r="I132" s="116"/>
      <c r="J132" s="116"/>
      <c r="K132" s="116"/>
      <c r="L132" s="116"/>
      <c r="M132" s="117"/>
      <c r="N132" s="117"/>
      <c r="O132" s="117"/>
      <c r="P132" s="117"/>
      <c r="Q132" s="116"/>
      <c r="R132" s="116"/>
    </row>
    <row r="133" spans="1:18" ht="12" customHeight="1">
      <c r="A133" s="116"/>
      <c r="B133" s="116"/>
      <c r="C133" s="116"/>
      <c r="D133" s="116"/>
      <c r="E133" s="116"/>
      <c r="F133" s="116"/>
      <c r="G133" s="116"/>
      <c r="H133" s="116"/>
      <c r="I133" s="116"/>
      <c r="J133" s="116"/>
      <c r="K133" s="116"/>
      <c r="L133" s="116"/>
      <c r="M133" s="117"/>
      <c r="N133" s="117"/>
      <c r="O133" s="117"/>
      <c r="P133" s="117"/>
      <c r="Q133" s="116"/>
      <c r="R133" s="116"/>
    </row>
    <row r="134" spans="1:18" ht="12" customHeight="1">
      <c r="A134" s="116"/>
      <c r="B134" s="116"/>
      <c r="C134" s="116"/>
      <c r="D134" s="116"/>
      <c r="E134" s="116"/>
      <c r="F134" s="116"/>
      <c r="G134" s="116"/>
      <c r="H134" s="116"/>
      <c r="I134" s="116"/>
      <c r="J134" s="116"/>
      <c r="K134" s="116"/>
      <c r="L134" s="116"/>
      <c r="M134" s="117"/>
      <c r="N134" s="117"/>
      <c r="O134" s="117"/>
      <c r="P134" s="117"/>
      <c r="Q134" s="116"/>
      <c r="R134" s="116"/>
    </row>
    <row r="135" spans="1:18" ht="12" customHeight="1">
      <c r="A135" s="116"/>
      <c r="B135" s="116"/>
      <c r="C135" s="116"/>
      <c r="D135" s="116"/>
      <c r="E135" s="116"/>
      <c r="F135" s="116"/>
      <c r="G135" s="116"/>
      <c r="H135" s="116"/>
      <c r="I135" s="116"/>
      <c r="J135" s="116"/>
      <c r="K135" s="116"/>
      <c r="L135" s="116"/>
      <c r="M135" s="117"/>
      <c r="N135" s="117"/>
      <c r="O135" s="117"/>
      <c r="P135" s="117"/>
      <c r="Q135" s="116"/>
      <c r="R135" s="116"/>
    </row>
    <row r="136" spans="1:18" ht="12" customHeight="1">
      <c r="A136" s="253"/>
      <c r="B136" s="116"/>
      <c r="C136" s="116"/>
      <c r="D136" s="116"/>
      <c r="E136" s="116"/>
      <c r="F136" s="116"/>
      <c r="G136" s="116"/>
      <c r="H136" s="116"/>
      <c r="I136" s="116"/>
      <c r="J136" s="116"/>
      <c r="K136" s="116"/>
      <c r="L136" s="116"/>
      <c r="M136" s="117"/>
      <c r="N136" s="117"/>
      <c r="O136" s="117"/>
      <c r="P136" s="117"/>
      <c r="Q136" s="116"/>
      <c r="R136" s="116"/>
    </row>
    <row r="137" spans="1:18" ht="12" customHeight="1">
      <c r="A137" s="253"/>
      <c r="B137" s="116"/>
      <c r="C137" s="116"/>
      <c r="D137" s="116"/>
      <c r="E137" s="116"/>
      <c r="F137" s="116"/>
      <c r="G137" s="116"/>
      <c r="H137" s="116"/>
      <c r="I137" s="116"/>
      <c r="J137" s="116"/>
      <c r="K137" s="116"/>
      <c r="L137" s="116"/>
      <c r="M137" s="117"/>
      <c r="N137" s="117"/>
      <c r="O137" s="117"/>
      <c r="P137" s="117"/>
      <c r="Q137" s="116"/>
      <c r="R137" s="116"/>
    </row>
    <row r="138" spans="1:18" ht="12" customHeight="1">
      <c r="A138" s="253"/>
      <c r="B138" s="116"/>
      <c r="C138" s="116"/>
      <c r="D138" s="116"/>
      <c r="E138" s="116"/>
      <c r="F138" s="116"/>
      <c r="G138" s="116"/>
      <c r="H138" s="116"/>
      <c r="I138" s="116"/>
      <c r="J138" s="116"/>
      <c r="K138" s="116"/>
      <c r="L138" s="116"/>
      <c r="M138" s="117"/>
      <c r="N138" s="117"/>
      <c r="O138" s="117"/>
      <c r="P138" s="117"/>
      <c r="Q138" s="116"/>
      <c r="R138" s="116"/>
    </row>
    <row r="139" spans="1:18" ht="12" customHeight="1">
      <c r="A139" s="116"/>
      <c r="B139" s="116"/>
      <c r="C139" s="116"/>
      <c r="D139" s="116"/>
      <c r="E139" s="116"/>
      <c r="F139" s="116"/>
      <c r="G139" s="116"/>
      <c r="H139" s="116"/>
      <c r="I139" s="116"/>
      <c r="J139" s="116"/>
      <c r="K139" s="116"/>
      <c r="L139" s="116"/>
      <c r="M139" s="117"/>
      <c r="N139" s="117"/>
      <c r="O139" s="117"/>
      <c r="P139" s="117"/>
      <c r="Q139" s="116"/>
      <c r="R139" s="116"/>
    </row>
    <row r="140" spans="1:18" ht="12" customHeight="1">
      <c r="A140" s="116"/>
      <c r="B140" s="116"/>
      <c r="C140" s="116"/>
      <c r="D140" s="116"/>
      <c r="E140" s="116"/>
      <c r="F140" s="116"/>
      <c r="G140" s="116"/>
      <c r="H140" s="116"/>
      <c r="I140" s="116"/>
      <c r="J140" s="116"/>
      <c r="K140" s="116"/>
      <c r="L140" s="116"/>
      <c r="M140" s="117"/>
      <c r="N140" s="117"/>
      <c r="O140" s="117"/>
      <c r="P140" s="117"/>
      <c r="Q140" s="116"/>
      <c r="R140" s="116"/>
    </row>
    <row r="141" spans="1:18" ht="12" customHeight="1">
      <c r="A141" s="116"/>
      <c r="B141" s="116"/>
      <c r="C141" s="116"/>
      <c r="D141" s="116"/>
      <c r="E141" s="116"/>
      <c r="F141" s="116"/>
      <c r="G141" s="116"/>
      <c r="H141" s="116"/>
      <c r="I141" s="116"/>
      <c r="J141" s="116"/>
      <c r="K141" s="116"/>
      <c r="L141" s="116"/>
      <c r="M141" s="117"/>
      <c r="N141" s="117"/>
      <c r="O141" s="117"/>
      <c r="P141" s="117"/>
      <c r="Q141" s="116"/>
      <c r="R141" s="116"/>
    </row>
    <row r="142" spans="1:18" ht="12" customHeight="1">
      <c r="A142" s="116"/>
      <c r="B142" s="116"/>
      <c r="C142" s="116"/>
      <c r="D142" s="116"/>
      <c r="E142" s="116"/>
      <c r="F142" s="116"/>
      <c r="G142" s="116"/>
      <c r="H142" s="116"/>
      <c r="I142" s="116"/>
      <c r="J142" s="116"/>
      <c r="K142" s="116"/>
      <c r="L142" s="116"/>
      <c r="M142" s="117"/>
      <c r="N142" s="117"/>
      <c r="O142" s="117"/>
      <c r="P142" s="117"/>
      <c r="Q142" s="116"/>
      <c r="R142" s="116"/>
    </row>
    <row r="143" spans="1:18" ht="12" customHeight="1">
      <c r="A143" s="116"/>
      <c r="B143" s="116"/>
      <c r="C143" s="116"/>
      <c r="D143" s="116"/>
      <c r="E143" s="116"/>
      <c r="F143" s="116"/>
      <c r="G143" s="116"/>
      <c r="H143" s="116"/>
      <c r="I143" s="116"/>
      <c r="J143" s="116"/>
      <c r="K143" s="116"/>
      <c r="L143" s="116"/>
      <c r="M143" s="117"/>
      <c r="N143" s="117"/>
      <c r="O143" s="117"/>
      <c r="P143" s="117"/>
      <c r="Q143" s="116"/>
      <c r="R143" s="116"/>
    </row>
    <row r="144" spans="1:18" ht="12" customHeight="1">
      <c r="A144" s="116"/>
      <c r="B144" s="116"/>
      <c r="C144" s="116"/>
      <c r="D144" s="116"/>
      <c r="E144" s="116"/>
      <c r="F144" s="116"/>
      <c r="G144" s="116"/>
      <c r="H144" s="116"/>
      <c r="I144" s="116"/>
      <c r="J144" s="116"/>
      <c r="K144" s="116"/>
      <c r="L144" s="116"/>
      <c r="M144" s="117"/>
      <c r="N144" s="117"/>
      <c r="O144" s="117"/>
      <c r="P144" s="117"/>
      <c r="Q144" s="116"/>
      <c r="R144" s="116"/>
    </row>
    <row r="145" spans="1:18" ht="12" customHeight="1">
      <c r="A145" s="116"/>
      <c r="B145" s="116"/>
      <c r="C145" s="116"/>
      <c r="D145" s="116"/>
      <c r="E145" s="116"/>
      <c r="F145" s="116"/>
      <c r="G145" s="116"/>
      <c r="H145" s="116"/>
      <c r="I145" s="116"/>
      <c r="J145" s="116"/>
      <c r="K145" s="116"/>
      <c r="L145" s="116"/>
      <c r="M145" s="117"/>
      <c r="N145" s="117"/>
      <c r="O145" s="117"/>
      <c r="P145" s="117"/>
      <c r="Q145" s="116"/>
      <c r="R145" s="116"/>
    </row>
    <row r="146" spans="1:18" ht="12" customHeight="1">
      <c r="A146" s="116"/>
      <c r="B146" s="116"/>
      <c r="C146" s="116"/>
      <c r="D146" s="116"/>
      <c r="E146" s="116"/>
      <c r="F146" s="116"/>
      <c r="G146" s="116"/>
      <c r="H146" s="116"/>
      <c r="I146" s="116"/>
      <c r="J146" s="116"/>
      <c r="K146" s="116"/>
      <c r="L146" s="116"/>
      <c r="M146" s="117"/>
      <c r="N146" s="117"/>
      <c r="O146" s="117"/>
      <c r="P146" s="117"/>
      <c r="Q146" s="116"/>
      <c r="R146" s="116"/>
    </row>
    <row r="147" spans="1:18" ht="12" customHeight="1">
      <c r="A147" s="116"/>
      <c r="B147" s="116"/>
      <c r="C147" s="116"/>
      <c r="D147" s="116"/>
      <c r="E147" s="116"/>
      <c r="F147" s="116"/>
      <c r="G147" s="116"/>
      <c r="H147" s="116"/>
      <c r="I147" s="116"/>
      <c r="J147" s="116"/>
      <c r="K147" s="116"/>
      <c r="L147" s="116"/>
      <c r="M147" s="117"/>
      <c r="N147" s="117"/>
      <c r="O147" s="117"/>
      <c r="P147" s="117"/>
      <c r="Q147" s="116"/>
      <c r="R147" s="116"/>
    </row>
    <row r="148" spans="1:18" ht="12" customHeight="1">
      <c r="A148" s="116"/>
      <c r="B148" s="116"/>
      <c r="C148" s="116"/>
      <c r="D148" s="116"/>
      <c r="E148" s="116"/>
      <c r="F148" s="116"/>
      <c r="G148" s="116"/>
      <c r="H148" s="116"/>
      <c r="I148" s="116"/>
      <c r="J148" s="116"/>
      <c r="K148" s="116"/>
      <c r="L148" s="116"/>
      <c r="M148" s="117"/>
      <c r="N148" s="117"/>
      <c r="O148" s="117"/>
      <c r="P148" s="117"/>
      <c r="Q148" s="116"/>
      <c r="R148" s="116"/>
    </row>
    <row r="149" spans="1:18" ht="12" customHeight="1">
      <c r="A149" s="116"/>
      <c r="B149" s="116"/>
      <c r="C149" s="116"/>
      <c r="D149" s="116"/>
      <c r="E149" s="116"/>
      <c r="F149" s="116"/>
      <c r="G149" s="116"/>
      <c r="H149" s="116"/>
      <c r="I149" s="116"/>
      <c r="J149" s="116"/>
      <c r="K149" s="116"/>
      <c r="L149" s="116"/>
      <c r="M149" s="117"/>
      <c r="N149" s="117"/>
      <c r="O149" s="117"/>
      <c r="P149" s="117"/>
      <c r="Q149" s="116"/>
      <c r="R149" s="116"/>
    </row>
    <row r="150" spans="1:18" ht="12" customHeight="1">
      <c r="A150" s="116"/>
      <c r="B150" s="116"/>
      <c r="C150" s="116"/>
      <c r="D150" s="116"/>
      <c r="E150" s="116"/>
      <c r="F150" s="116"/>
      <c r="G150" s="116"/>
      <c r="H150" s="116"/>
      <c r="I150" s="116"/>
      <c r="J150" s="116"/>
      <c r="K150" s="116"/>
      <c r="L150" s="116"/>
      <c r="M150" s="117"/>
      <c r="N150" s="117"/>
      <c r="O150" s="117"/>
      <c r="P150" s="117"/>
      <c r="Q150" s="116"/>
      <c r="R150" s="116"/>
    </row>
    <row r="151" spans="1:18" ht="12" customHeight="1">
      <c r="A151" s="116"/>
      <c r="B151" s="116"/>
      <c r="C151" s="116"/>
      <c r="D151" s="116"/>
      <c r="E151" s="116"/>
      <c r="F151" s="116"/>
      <c r="G151" s="116"/>
      <c r="H151" s="116"/>
      <c r="I151" s="116"/>
      <c r="J151" s="116"/>
      <c r="K151" s="116"/>
      <c r="L151" s="116"/>
      <c r="M151" s="117"/>
      <c r="N151" s="117"/>
      <c r="O151" s="117"/>
      <c r="P151" s="117"/>
      <c r="Q151" s="116"/>
      <c r="R151" s="116"/>
    </row>
    <row r="152" spans="1:18" ht="12" customHeight="1">
      <c r="A152" s="116"/>
      <c r="B152" s="116"/>
      <c r="C152" s="116"/>
      <c r="D152" s="116"/>
      <c r="E152" s="116"/>
      <c r="F152" s="116"/>
      <c r="G152" s="116"/>
      <c r="H152" s="116"/>
      <c r="I152" s="116"/>
      <c r="J152" s="116"/>
      <c r="K152" s="116"/>
      <c r="L152" s="116"/>
      <c r="M152" s="117"/>
      <c r="N152" s="117"/>
      <c r="O152" s="117"/>
      <c r="P152" s="117"/>
      <c r="Q152" s="116"/>
      <c r="R152" s="116"/>
    </row>
    <row r="153" spans="1:18" ht="12" customHeight="1">
      <c r="A153" s="116"/>
      <c r="B153" s="116"/>
      <c r="C153" s="116"/>
      <c r="D153" s="116"/>
      <c r="E153" s="116"/>
      <c r="F153" s="116"/>
      <c r="G153" s="116"/>
      <c r="H153" s="116"/>
      <c r="I153" s="116"/>
      <c r="J153" s="116"/>
      <c r="K153" s="116"/>
      <c r="L153" s="116"/>
      <c r="M153" s="117"/>
      <c r="N153" s="117"/>
      <c r="O153" s="117"/>
      <c r="P153" s="117"/>
      <c r="Q153" s="116"/>
      <c r="R153" s="116"/>
    </row>
    <row r="154" spans="1:18" ht="12" customHeight="1">
      <c r="A154" s="116"/>
      <c r="B154" s="116"/>
      <c r="C154" s="116"/>
      <c r="D154" s="116"/>
      <c r="E154" s="116"/>
      <c r="F154" s="116"/>
      <c r="G154" s="116"/>
      <c r="H154" s="116"/>
      <c r="I154" s="116"/>
      <c r="J154" s="116"/>
      <c r="K154" s="116"/>
      <c r="L154" s="116"/>
      <c r="M154" s="117"/>
      <c r="N154" s="117"/>
      <c r="O154" s="117"/>
      <c r="P154" s="117"/>
      <c r="Q154" s="116"/>
      <c r="R154" s="116"/>
    </row>
    <row r="155" spans="1:18" ht="12" customHeight="1">
      <c r="A155" s="116"/>
      <c r="B155" s="116"/>
      <c r="C155" s="116"/>
      <c r="D155" s="116"/>
      <c r="E155" s="116"/>
      <c r="F155" s="116"/>
      <c r="G155" s="116"/>
      <c r="H155" s="116"/>
      <c r="I155" s="116"/>
      <c r="J155" s="116"/>
      <c r="K155" s="116"/>
      <c r="L155" s="116"/>
      <c r="M155" s="117"/>
      <c r="N155" s="117"/>
      <c r="O155" s="117"/>
      <c r="P155" s="117"/>
      <c r="Q155" s="116"/>
      <c r="R155" s="116"/>
    </row>
    <row r="156" spans="1:18" ht="12" customHeight="1">
      <c r="A156" s="116"/>
      <c r="B156" s="116"/>
      <c r="C156" s="116"/>
      <c r="D156" s="116"/>
      <c r="E156" s="116"/>
      <c r="F156" s="116"/>
      <c r="G156" s="116"/>
      <c r="H156" s="116"/>
      <c r="I156" s="116"/>
      <c r="J156" s="116"/>
      <c r="K156" s="116"/>
      <c r="L156" s="116"/>
      <c r="M156" s="117"/>
      <c r="N156" s="117"/>
      <c r="O156" s="117"/>
      <c r="P156" s="117"/>
      <c r="Q156" s="116"/>
      <c r="R156" s="116"/>
    </row>
    <row r="157" spans="1:18" ht="12" customHeight="1">
      <c r="A157" s="116"/>
      <c r="B157" s="116"/>
      <c r="C157" s="116"/>
      <c r="D157" s="116"/>
      <c r="E157" s="116"/>
      <c r="F157" s="116"/>
      <c r="G157" s="116"/>
      <c r="H157" s="116"/>
      <c r="I157" s="116"/>
      <c r="J157" s="116"/>
      <c r="K157" s="116"/>
      <c r="L157" s="116"/>
      <c r="M157" s="117"/>
      <c r="N157" s="117"/>
      <c r="O157" s="117"/>
      <c r="P157" s="117"/>
      <c r="Q157" s="116"/>
      <c r="R157" s="116"/>
    </row>
    <row r="158" spans="1:18" ht="12" customHeight="1">
      <c r="A158" s="116"/>
      <c r="B158" s="116"/>
      <c r="C158" s="116"/>
      <c r="D158" s="116"/>
      <c r="E158" s="116"/>
      <c r="F158" s="116"/>
      <c r="G158" s="116"/>
      <c r="H158" s="116"/>
      <c r="I158" s="116"/>
      <c r="J158" s="116"/>
      <c r="K158" s="116"/>
      <c r="L158" s="116"/>
      <c r="M158" s="117"/>
      <c r="N158" s="117"/>
      <c r="O158" s="117"/>
      <c r="P158" s="117"/>
      <c r="Q158" s="116"/>
      <c r="R158" s="116"/>
    </row>
    <row r="159" spans="1:18" ht="12" customHeight="1">
      <c r="A159" s="116"/>
      <c r="B159" s="116"/>
      <c r="C159" s="116"/>
      <c r="D159" s="116"/>
      <c r="E159" s="116"/>
      <c r="F159" s="116"/>
      <c r="G159" s="116"/>
      <c r="H159" s="116"/>
      <c r="I159" s="116"/>
      <c r="J159" s="116"/>
      <c r="K159" s="116"/>
      <c r="L159" s="116"/>
      <c r="M159" s="117"/>
      <c r="N159" s="117"/>
      <c r="O159" s="117"/>
      <c r="P159" s="117"/>
      <c r="Q159" s="116"/>
      <c r="R159" s="116"/>
    </row>
    <row r="160" spans="1:18" ht="12" customHeight="1">
      <c r="A160" s="116"/>
      <c r="B160" s="116"/>
      <c r="C160" s="116"/>
      <c r="D160" s="116"/>
      <c r="E160" s="116"/>
      <c r="F160" s="116"/>
      <c r="G160" s="116"/>
      <c r="H160" s="116"/>
      <c r="I160" s="116"/>
      <c r="J160" s="116"/>
      <c r="K160" s="116"/>
      <c r="L160" s="116"/>
      <c r="M160" s="117"/>
      <c r="N160" s="117"/>
      <c r="O160" s="117"/>
      <c r="P160" s="117"/>
      <c r="Q160" s="116"/>
      <c r="R160" s="116"/>
    </row>
    <row r="161" spans="1:18" ht="12" customHeight="1">
      <c r="A161" s="116"/>
      <c r="B161" s="116"/>
      <c r="C161" s="116"/>
      <c r="D161" s="116"/>
      <c r="E161" s="116"/>
      <c r="F161" s="116"/>
      <c r="G161" s="116"/>
      <c r="H161" s="116"/>
      <c r="I161" s="116"/>
      <c r="J161" s="116"/>
      <c r="K161" s="116"/>
      <c r="L161" s="116"/>
      <c r="M161" s="117"/>
      <c r="N161" s="117"/>
      <c r="O161" s="117"/>
      <c r="P161" s="117"/>
      <c r="Q161" s="116"/>
      <c r="R161" s="116"/>
    </row>
    <row r="162" spans="1:18" ht="12" customHeight="1">
      <c r="A162" s="116"/>
      <c r="B162" s="116"/>
      <c r="C162" s="116"/>
      <c r="D162" s="116"/>
      <c r="E162" s="116"/>
      <c r="F162" s="116"/>
      <c r="G162" s="116"/>
      <c r="H162" s="116"/>
      <c r="I162" s="116"/>
      <c r="J162" s="116"/>
      <c r="K162" s="116"/>
      <c r="L162" s="116"/>
      <c r="M162" s="117"/>
      <c r="N162" s="117"/>
      <c r="O162" s="117"/>
      <c r="P162" s="117"/>
      <c r="Q162" s="116"/>
      <c r="R162" s="116"/>
    </row>
    <row r="163" spans="1:18" ht="12" customHeight="1">
      <c r="A163" s="116"/>
      <c r="B163" s="116"/>
      <c r="C163" s="116"/>
      <c r="D163" s="116"/>
      <c r="E163" s="116"/>
      <c r="F163" s="116"/>
      <c r="G163" s="116"/>
      <c r="H163" s="116"/>
      <c r="I163" s="116"/>
      <c r="J163" s="116"/>
      <c r="K163" s="116"/>
      <c r="L163" s="116"/>
      <c r="M163" s="117"/>
      <c r="N163" s="117"/>
      <c r="O163" s="117"/>
      <c r="P163" s="117"/>
      <c r="Q163" s="116"/>
      <c r="R163" s="116"/>
    </row>
  </sheetData>
  <sheetProtection algorithmName="SHA-512" hashValue="7DNFHQNNc5c7HZ3nupS+MkiWfviYboQzTd/JKSIndf6GH+RPGqoOmwyzVjgw2vymAh+KFHXGQBOI5ThtXaGheg==" saltValue="I1I1zfu6HQimyWFmErvMlA==" spinCount="100000" sheet="1" selectLockedCells="1" selectUnlockedCells="1"/>
  <mergeCells count="67">
    <mergeCell ref="M4:M8"/>
    <mergeCell ref="N4:N8"/>
    <mergeCell ref="O4:O8"/>
    <mergeCell ref="P4:P8"/>
    <mergeCell ref="F7:G7"/>
    <mergeCell ref="H7:I7"/>
    <mergeCell ref="F8:J8"/>
    <mergeCell ref="E4:J6"/>
    <mergeCell ref="K4:L7"/>
    <mergeCell ref="B10:B14"/>
    <mergeCell ref="F10:H10"/>
    <mergeCell ref="J10:J18"/>
    <mergeCell ref="K10:K18"/>
    <mergeCell ref="L10:L18"/>
    <mergeCell ref="M10:M11"/>
    <mergeCell ref="N10:N11"/>
    <mergeCell ref="O10:O11"/>
    <mergeCell ref="P10:P11"/>
    <mergeCell ref="F11:I11"/>
    <mergeCell ref="N19:N20"/>
    <mergeCell ref="O19:O20"/>
    <mergeCell ref="P19:P20"/>
    <mergeCell ref="F20:H20"/>
    <mergeCell ref="F21:H21"/>
    <mergeCell ref="F19:H19"/>
    <mergeCell ref="J19:J24"/>
    <mergeCell ref="K19:K24"/>
    <mergeCell ref="L19:L24"/>
    <mergeCell ref="M19:M20"/>
    <mergeCell ref="G22:H22"/>
    <mergeCell ref="G23:H23"/>
    <mergeCell ref="N25:N26"/>
    <mergeCell ref="O25:O26"/>
    <mergeCell ref="P25:P26"/>
    <mergeCell ref="F26:H26"/>
    <mergeCell ref="F30:H30"/>
    <mergeCell ref="F25:H25"/>
    <mergeCell ref="J25:J31"/>
    <mergeCell ref="K25:K31"/>
    <mergeCell ref="L25:L31"/>
    <mergeCell ref="M25:M26"/>
    <mergeCell ref="F31:H31"/>
    <mergeCell ref="F32:H32"/>
    <mergeCell ref="J32:J37"/>
    <mergeCell ref="K32:K37"/>
    <mergeCell ref="L32:L37"/>
    <mergeCell ref="M32:M33"/>
    <mergeCell ref="N32:N33"/>
    <mergeCell ref="O32:O33"/>
    <mergeCell ref="P32:P33"/>
    <mergeCell ref="J38:J42"/>
    <mergeCell ref="K38:K42"/>
    <mergeCell ref="L38:L42"/>
    <mergeCell ref="M38:M39"/>
    <mergeCell ref="N38:N39"/>
    <mergeCell ref="O38:O39"/>
    <mergeCell ref="P38:P39"/>
    <mergeCell ref="K51:L51"/>
    <mergeCell ref="K52:L52"/>
    <mergeCell ref="K53:L53"/>
    <mergeCell ref="B58:Q58"/>
    <mergeCell ref="M45:M46"/>
    <mergeCell ref="N45:N46"/>
    <mergeCell ref="O45:O46"/>
    <mergeCell ref="P45:P46"/>
    <mergeCell ref="K49:L49"/>
    <mergeCell ref="K50:L50"/>
  </mergeCells>
  <pageMargins left="0.7" right="0.7" top="0.78749999999999998" bottom="0.78749999999999998" header="0.51180555555555551" footer="0.51180555555555551"/>
  <pageSetup paperSize="9" firstPageNumber="0"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R17"/>
  <sheetViews>
    <sheetView showGridLines="0" zoomScale="75" zoomScaleNormal="75" workbookViewId="0">
      <selection activeCell="K6" sqref="K6"/>
    </sheetView>
  </sheetViews>
  <sheetFormatPr baseColWidth="10" defaultColWidth="10.7109375" defaultRowHeight="12.75" customHeight="1"/>
  <cols>
    <col min="1" max="1" width="2.7109375" style="254" customWidth="1"/>
    <col min="2" max="2" width="22.28515625" style="254" customWidth="1"/>
    <col min="3" max="3" width="4" style="254" customWidth="1"/>
    <col min="4" max="4" width="3" style="254" customWidth="1"/>
    <col min="5" max="5" width="4" style="254" customWidth="1"/>
    <col min="6" max="6" width="16.28515625" style="254" customWidth="1"/>
    <col min="7" max="7" width="4" style="254" customWidth="1"/>
    <col min="8" max="8" width="3" style="254" customWidth="1"/>
    <col min="9" max="9" width="4" style="254" customWidth="1"/>
    <col min="10" max="10" width="17.7109375" style="254" customWidth="1"/>
    <col min="11" max="11" width="4" style="254" customWidth="1"/>
    <col min="12" max="12" width="3" style="254" customWidth="1"/>
    <col min="13" max="13" width="7.28515625" style="254" customWidth="1"/>
    <col min="14" max="14" width="21.28515625" style="254" customWidth="1"/>
    <col min="15" max="15" width="4" style="254" customWidth="1"/>
    <col min="16" max="16" width="3" style="254" customWidth="1"/>
    <col min="17" max="17" width="4" style="254" customWidth="1"/>
    <col min="18" max="18" width="21" style="254" customWidth="1"/>
    <col min="19" max="16384" width="10.7109375" style="254"/>
  </cols>
  <sheetData>
    <row r="1" spans="1:18" ht="12.75" customHeight="1">
      <c r="A1" s="9"/>
      <c r="B1" s="9"/>
      <c r="C1" s="9"/>
      <c r="D1" s="9"/>
      <c r="E1" s="9"/>
      <c r="F1" s="9"/>
      <c r="G1" s="9"/>
      <c r="H1" s="9"/>
      <c r="I1" s="9"/>
      <c r="J1" s="9"/>
      <c r="K1" s="9"/>
      <c r="L1" s="9"/>
      <c r="M1" s="9"/>
      <c r="N1" s="9"/>
      <c r="O1" s="9"/>
      <c r="P1" s="9"/>
      <c r="Q1" s="9"/>
      <c r="R1" s="9"/>
    </row>
    <row r="2" spans="1:18" ht="12.75" customHeight="1">
      <c r="A2" s="9"/>
      <c r="B2" s="16" t="str">
        <f>'12.lan'!D91&amp;" - "&amp;'0. Intro'!B3&amp;" "&amp;'0. Intro'!C3</f>
        <v>Common Good Balance Calculator - Version 5.02</v>
      </c>
      <c r="C2" s="255"/>
      <c r="D2" s="255"/>
      <c r="E2" s="255"/>
      <c r="F2" s="255"/>
      <c r="G2" s="256"/>
      <c r="H2" s="257"/>
      <c r="I2" s="611" t="str">
        <f>'12.lan'!D212</f>
        <v>Note: This is not a certificate.</v>
      </c>
      <c r="J2" s="611"/>
      <c r="K2" s="611"/>
      <c r="L2" s="611"/>
      <c r="M2" s="611"/>
      <c r="N2" s="611"/>
      <c r="O2" s="611"/>
      <c r="P2" s="9"/>
      <c r="Q2" s="9"/>
      <c r="R2" s="9"/>
    </row>
    <row r="3" spans="1:18" ht="5.25" customHeight="1">
      <c r="A3" s="9"/>
      <c r="B3" s="612" t="str">
        <f>'12.lan'!D213</f>
        <v>COMMON GOOD MATRIX</v>
      </c>
      <c r="C3" s="612"/>
      <c r="D3" s="612"/>
      <c r="E3" s="612"/>
      <c r="F3" s="612"/>
      <c r="G3" s="612"/>
      <c r="H3" s="258"/>
      <c r="I3" s="258"/>
      <c r="J3" s="258"/>
      <c r="K3" s="9"/>
      <c r="L3" s="9"/>
      <c r="M3" s="259"/>
      <c r="N3" s="259"/>
      <c r="O3" s="259"/>
      <c r="P3" s="9"/>
      <c r="Q3" s="9"/>
      <c r="R3" s="9"/>
    </row>
    <row r="4" spans="1:18" ht="15" customHeight="1">
      <c r="A4" s="9"/>
      <c r="B4" s="612"/>
      <c r="C4" s="612"/>
      <c r="D4" s="612"/>
      <c r="E4" s="612"/>
      <c r="F4" s="612"/>
      <c r="G4" s="612"/>
      <c r="H4" s="258"/>
      <c r="I4" s="613" t="str">
        <f>'12.lan'!D92</f>
        <v>Total Balance Score:</v>
      </c>
      <c r="J4" s="613"/>
      <c r="K4" s="614">
        <f>'3. Calc'!I4</f>
        <v>0</v>
      </c>
      <c r="L4" s="614"/>
      <c r="M4" s="615" t="str">
        <f>'12.lan'!D214&amp;" "&amp;'3. Calc'!$J$4&amp;'12.lan'!D215</f>
        <v>of 1000 points</v>
      </c>
      <c r="N4" s="615"/>
      <c r="O4" s="615"/>
      <c r="P4" s="9"/>
      <c r="Q4" s="9"/>
      <c r="R4" s="9"/>
    </row>
    <row r="5" spans="1:18" ht="12.75" customHeight="1">
      <c r="A5" s="9"/>
      <c r="B5" s="10" t="str">
        <f>'12.lan'!D82&amp;": "&amp;'1. General'!C6&amp;"; "&amp;'12.lan'!D83&amp;": "&amp;'1. General'!C12</f>
        <v xml:space="preserve">Company / Organisation: ; Period under review: </v>
      </c>
      <c r="C5" s="33"/>
      <c r="D5" s="33"/>
      <c r="E5" s="33"/>
      <c r="F5" s="260"/>
      <c r="G5" s="256"/>
      <c r="H5" s="257"/>
      <c r="I5" s="613"/>
      <c r="J5" s="613"/>
      <c r="K5" s="614"/>
      <c r="L5" s="614"/>
      <c r="M5" s="615"/>
      <c r="N5" s="615"/>
      <c r="O5" s="615"/>
      <c r="P5" s="9"/>
      <c r="Q5" s="9"/>
      <c r="R5" s="9"/>
    </row>
    <row r="6" spans="1:18" ht="18" customHeight="1">
      <c r="A6" s="9"/>
      <c r="B6" s="9"/>
      <c r="C6" s="9"/>
      <c r="D6" s="9"/>
      <c r="E6" s="9"/>
      <c r="F6" s="9"/>
      <c r="G6" s="9"/>
      <c r="H6" s="9"/>
      <c r="I6" s="9"/>
      <c r="J6" s="9"/>
      <c r="K6" s="9"/>
      <c r="L6" s="9"/>
      <c r="M6" s="608"/>
      <c r="N6" s="608"/>
      <c r="O6" s="608"/>
      <c r="P6" s="9"/>
      <c r="Q6" s="9"/>
      <c r="R6" s="9"/>
    </row>
    <row r="7" spans="1:18" ht="36" customHeight="1">
      <c r="A7" s="9"/>
      <c r="B7" s="261" t="str">
        <f>'12.lan'!D206</f>
        <v>Values ►
Stakekolders ▼</v>
      </c>
      <c r="C7" s="609" t="str">
        <f>'12.lan'!D216</f>
        <v>Human dignity</v>
      </c>
      <c r="D7" s="609"/>
      <c r="E7" s="609"/>
      <c r="F7" s="609"/>
      <c r="G7" s="609" t="str">
        <f>'12.lan'!D217</f>
        <v>Solidarity &amp; social justice</v>
      </c>
      <c r="H7" s="609"/>
      <c r="I7" s="609"/>
      <c r="J7" s="609"/>
      <c r="K7" s="610" t="str">
        <f>'12.lan'!D218</f>
        <v>Environmental sustainability</v>
      </c>
      <c r="L7" s="610"/>
      <c r="M7" s="610"/>
      <c r="N7" s="610"/>
      <c r="O7" s="609" t="str">
        <f>'12.lan'!D219</f>
        <v>Transparency &amp; co-determination</v>
      </c>
      <c r="P7" s="609"/>
      <c r="Q7" s="609"/>
      <c r="R7" s="609"/>
    </row>
    <row r="8" spans="1:18" ht="53.25" customHeight="1">
      <c r="A8" s="9"/>
      <c r="B8" s="607" t="str">
        <f>"A: "&amp;'12.lan'!D108</f>
        <v>A: Suppliers</v>
      </c>
      <c r="C8" s="605" t="str">
        <f>'12.lan'!B109</f>
        <v>A1: Human dignity in the supply chain</v>
      </c>
      <c r="D8" s="605"/>
      <c r="E8" s="605"/>
      <c r="F8" s="605"/>
      <c r="G8" s="605" t="str">
        <f>'12.lan'!B112</f>
        <v>A2: Solidarity and social justice in the supply chain</v>
      </c>
      <c r="H8" s="605"/>
      <c r="I8" s="605"/>
      <c r="J8" s="605"/>
      <c r="K8" s="605" t="str">
        <f>'12.lan'!B116</f>
        <v>A3: Environmental sustainability in the supply chain</v>
      </c>
      <c r="L8" s="605"/>
      <c r="M8" s="605"/>
      <c r="N8" s="605"/>
      <c r="O8" s="605" t="str">
        <f>'12.lan'!B119</f>
        <v>A4: Transparency &amp; co-determination in the supply chain</v>
      </c>
      <c r="P8" s="605"/>
      <c r="Q8" s="605"/>
      <c r="R8" s="605"/>
    </row>
    <row r="9" spans="1:18" ht="21" customHeight="1">
      <c r="A9" s="9"/>
      <c r="B9" s="607"/>
      <c r="C9" s="262">
        <f>'3. Calc'!I10</f>
        <v>0</v>
      </c>
      <c r="D9" s="263" t="str">
        <f>'12.lan'!$D$214</f>
        <v>of</v>
      </c>
      <c r="E9" s="264">
        <f>'3. Calc'!J10</f>
        <v>51.282051282051277</v>
      </c>
      <c r="F9" s="265">
        <f>'3. Calc'!H10</f>
        <v>0</v>
      </c>
      <c r="G9" s="262">
        <f>'3. Calc'!I13</f>
        <v>0</v>
      </c>
      <c r="H9" s="263" t="str">
        <f>'12.lan'!$D$214</f>
        <v>of</v>
      </c>
      <c r="I9" s="264">
        <f>'3. Calc'!J13</f>
        <v>51.282051282051277</v>
      </c>
      <c r="J9" s="265">
        <f>'3. Calc'!H13</f>
        <v>0</v>
      </c>
      <c r="K9" s="262">
        <f>'3. Calc'!I17</f>
        <v>0</v>
      </c>
      <c r="L9" s="263" t="str">
        <f>'12.lan'!$D$214</f>
        <v>of</v>
      </c>
      <c r="M9" s="264">
        <f>'3. Calc'!J17</f>
        <v>51.282051282051277</v>
      </c>
      <c r="N9" s="265">
        <f>'3. Calc'!H17</f>
        <v>0</v>
      </c>
      <c r="O9" s="262">
        <f>'3. Calc'!I20</f>
        <v>0</v>
      </c>
      <c r="P9" s="263" t="str">
        <f>'12.lan'!$D$214</f>
        <v>of</v>
      </c>
      <c r="Q9" s="264">
        <f>'3. Calc'!J20</f>
        <v>25.641025641025639</v>
      </c>
      <c r="R9" s="265">
        <f>'3. Calc'!H20</f>
        <v>0</v>
      </c>
    </row>
    <row r="10" spans="1:18" ht="45" customHeight="1">
      <c r="A10" s="9"/>
      <c r="B10" s="606" t="str">
        <f>"B: "&amp;'12.lan'!D122</f>
        <v>B: Owners, equity- and financial service providers</v>
      </c>
      <c r="C10" s="605" t="str">
        <f>'12.lan'!B123</f>
        <v>B1: Ethical position in relation to financial resources</v>
      </c>
      <c r="D10" s="605"/>
      <c r="E10" s="605"/>
      <c r="F10" s="605"/>
      <c r="G10" s="605" t="str">
        <f>'12.lan'!B127</f>
        <v>B2: Social position in relation to financial resources</v>
      </c>
      <c r="H10" s="605"/>
      <c r="I10" s="605"/>
      <c r="J10" s="605"/>
      <c r="K10" s="605" t="str">
        <f>'12.lan'!B130</f>
        <v>B3: Use of funds in relation to social and environmental impacts</v>
      </c>
      <c r="L10" s="605"/>
      <c r="M10" s="605"/>
      <c r="N10" s="605"/>
      <c r="O10" s="605" t="str">
        <f>'12.lan'!B134&amp;IF('9. Weighting'!I28=1,'12.lan'!D211,"")</f>
        <v>B4: Ownership and co-determination</v>
      </c>
      <c r="P10" s="605"/>
      <c r="Q10" s="605"/>
      <c r="R10" s="605"/>
    </row>
    <row r="11" spans="1:18" ht="28.5" customHeight="1">
      <c r="A11" s="9"/>
      <c r="B11" s="606"/>
      <c r="C11" s="262">
        <f>'3. Calc'!I24</f>
        <v>0</v>
      </c>
      <c r="D11" s="263" t="str">
        <f>'12.lan'!$D$214</f>
        <v>of</v>
      </c>
      <c r="E11" s="264">
        <f>'3. Calc'!J24</f>
        <v>51.282051282051277</v>
      </c>
      <c r="F11" s="265">
        <f>'3. Calc'!H24</f>
        <v>0</v>
      </c>
      <c r="G11" s="262">
        <f>'3. Calc'!I28</f>
        <v>0</v>
      </c>
      <c r="H11" s="263" t="str">
        <f>'12.lan'!$D$214</f>
        <v>of</v>
      </c>
      <c r="I11" s="264">
        <f>'3. Calc'!J28</f>
        <v>51.282051282051277</v>
      </c>
      <c r="J11" s="265">
        <f>'3. Calc'!H28</f>
        <v>0</v>
      </c>
      <c r="K11" s="262">
        <f>'3. Calc'!I31</f>
        <v>0</v>
      </c>
      <c r="L11" s="263" t="str">
        <f>'12.lan'!$D$214</f>
        <v>of</v>
      </c>
      <c r="M11" s="264">
        <f>'3. Calc'!J31</f>
        <v>51.282051282051277</v>
      </c>
      <c r="N11" s="265">
        <f>'3. Calc'!H31</f>
        <v>0</v>
      </c>
      <c r="O11" s="262">
        <f>'3. Calc'!I35</f>
        <v>0</v>
      </c>
      <c r="P11" s="263" t="str">
        <f>'12.lan'!$D$214</f>
        <v>of</v>
      </c>
      <c r="Q11" s="264">
        <f>'3. Calc'!J35</f>
        <v>51.282051282051277</v>
      </c>
      <c r="R11" s="265">
        <f>'3. Calc'!H35</f>
        <v>0</v>
      </c>
    </row>
    <row r="12" spans="1:18" ht="50.25" customHeight="1">
      <c r="A12" s="9"/>
      <c r="B12" s="604" t="str">
        <f>"C: "&amp;'12.lan'!D137</f>
        <v>C: Employees</v>
      </c>
      <c r="C12" s="605" t="str">
        <f>'12.lan'!B138</f>
        <v>C1: Human dignity in the workplace and working environment</v>
      </c>
      <c r="D12" s="605"/>
      <c r="E12" s="605"/>
      <c r="F12" s="605"/>
      <c r="G12" s="605" t="str">
        <f>'12.lan'!B143</f>
        <v>C2: Self-determined working arrangements</v>
      </c>
      <c r="H12" s="605"/>
      <c r="I12" s="605"/>
      <c r="J12" s="605"/>
      <c r="K12" s="605" t="str">
        <f>'12.lan'!B148</f>
        <v>C3: Environmentally-friendly behaviour of staff</v>
      </c>
      <c r="L12" s="605"/>
      <c r="M12" s="605"/>
      <c r="N12" s="605"/>
      <c r="O12" s="605" t="str">
        <f>'12.lan'!B153</f>
        <v>C4: Co-determination and transparency within the organisation</v>
      </c>
      <c r="P12" s="605"/>
      <c r="Q12" s="605"/>
      <c r="R12" s="605"/>
    </row>
    <row r="13" spans="1:18" ht="16.5" customHeight="1">
      <c r="A13" s="9"/>
      <c r="B13" s="604"/>
      <c r="C13" s="262">
        <f>'3. Calc'!I39</f>
        <v>0</v>
      </c>
      <c r="D13" s="263" t="str">
        <f>'12.lan'!$D$214</f>
        <v>of</v>
      </c>
      <c r="E13" s="264">
        <f>'3. Calc'!J39</f>
        <v>51.282051282051277</v>
      </c>
      <c r="F13" s="265">
        <f>'3. Calc'!H39</f>
        <v>0</v>
      </c>
      <c r="G13" s="262">
        <f>'3. Calc'!I44</f>
        <v>0</v>
      </c>
      <c r="H13" s="263" t="str">
        <f>'12.lan'!$D$214</f>
        <v>of</v>
      </c>
      <c r="I13" s="264">
        <f>'3. Calc'!J44</f>
        <v>51.282051282051277</v>
      </c>
      <c r="J13" s="265">
        <f>'3. Calc'!H44</f>
        <v>0</v>
      </c>
      <c r="K13" s="262">
        <f>'3. Calc'!I49</f>
        <v>0</v>
      </c>
      <c r="L13" s="263" t="str">
        <f>'12.lan'!$D$214</f>
        <v>of</v>
      </c>
      <c r="M13" s="264">
        <f>'3. Calc'!J49</f>
        <v>51.282051282051277</v>
      </c>
      <c r="N13" s="265">
        <f>'3. Calc'!H49</f>
        <v>0</v>
      </c>
      <c r="O13" s="262">
        <f>'3. Calc'!I54</f>
        <v>0</v>
      </c>
      <c r="P13" s="263" t="str">
        <f>'12.lan'!$D$214</f>
        <v>of</v>
      </c>
      <c r="Q13" s="264">
        <f>'3. Calc'!J54</f>
        <v>51.282051282051277</v>
      </c>
      <c r="R13" s="265">
        <f>'3. Calc'!H54</f>
        <v>0</v>
      </c>
    </row>
    <row r="14" spans="1:18" ht="50.25" customHeight="1">
      <c r="A14" s="9"/>
      <c r="B14" s="604" t="str">
        <f>"D: "&amp;'12.lan'!D158</f>
        <v>D: Customers and other companies</v>
      </c>
      <c r="C14" s="605" t="str">
        <f>'12.lan'!B159</f>
        <v>D1: Ethical customer relations</v>
      </c>
      <c r="D14" s="605"/>
      <c r="E14" s="605"/>
      <c r="F14" s="605"/>
      <c r="G14" s="605" t="str">
        <f>'12.lan'!B163</f>
        <v>D2: Cooperation and solidarity with other companies</v>
      </c>
      <c r="H14" s="605"/>
      <c r="I14" s="605"/>
      <c r="J14" s="605"/>
      <c r="K14" s="605" t="str">
        <f>'12.lan'!B167</f>
        <v>D3: Impact on the environment of the use and disposal of products and services</v>
      </c>
      <c r="L14" s="605"/>
      <c r="M14" s="605"/>
      <c r="N14" s="605"/>
      <c r="O14" s="605" t="str">
        <f>'12.lan'!B171</f>
        <v>D4: Customer participation and product transparency</v>
      </c>
      <c r="P14" s="605"/>
      <c r="Q14" s="605"/>
      <c r="R14" s="605"/>
    </row>
    <row r="15" spans="1:18" ht="16.5" customHeight="1">
      <c r="A15" s="9"/>
      <c r="B15" s="604"/>
      <c r="C15" s="262">
        <f>'3. Calc'!I60</f>
        <v>0</v>
      </c>
      <c r="D15" s="263" t="str">
        <f>'12.lan'!$D$214</f>
        <v>of</v>
      </c>
      <c r="E15" s="264">
        <f>'3. Calc'!J60</f>
        <v>51.282051282051277</v>
      </c>
      <c r="F15" s="265">
        <f>'3. Calc'!H60</f>
        <v>0</v>
      </c>
      <c r="G15" s="262">
        <f>'3. Calc'!I64</f>
        <v>0</v>
      </c>
      <c r="H15" s="263" t="str">
        <f>'12.lan'!$D$214</f>
        <v>of</v>
      </c>
      <c r="I15" s="264">
        <f>'3. Calc'!J64</f>
        <v>51.282051282051277</v>
      </c>
      <c r="J15" s="265">
        <f>'3. Calc'!H64</f>
        <v>0</v>
      </c>
      <c r="K15" s="262">
        <f>'3. Calc'!I68</f>
        <v>0</v>
      </c>
      <c r="L15" s="263" t="str">
        <f>'12.lan'!$D$214</f>
        <v>of</v>
      </c>
      <c r="M15" s="264">
        <f>'3. Calc'!J68</f>
        <v>51.282051282051277</v>
      </c>
      <c r="N15" s="265">
        <f>'3. Calc'!H68</f>
        <v>0</v>
      </c>
      <c r="O15" s="262">
        <f>'3. Calc'!I72</f>
        <v>0</v>
      </c>
      <c r="P15" s="263" t="str">
        <f>'12.lan'!$D$214</f>
        <v>of</v>
      </c>
      <c r="Q15" s="264">
        <f>'3. Calc'!J72</f>
        <v>51.282051282051277</v>
      </c>
      <c r="R15" s="265">
        <f>'3. Calc'!H72</f>
        <v>0</v>
      </c>
    </row>
    <row r="16" spans="1:18" ht="50.25" customHeight="1">
      <c r="A16" s="9"/>
      <c r="B16" s="604" t="str">
        <f>"E: "&amp;'12.lan'!D175</f>
        <v>E: Social environment</v>
      </c>
      <c r="C16" s="605" t="str">
        <f>'12.lan'!B176</f>
        <v>E1: Purpose of products and services and their effects on society</v>
      </c>
      <c r="D16" s="605"/>
      <c r="E16" s="605"/>
      <c r="F16" s="605"/>
      <c r="G16" s="605" t="str">
        <f>'12.lan'!B180</f>
        <v>E2: Contribution to the community</v>
      </c>
      <c r="H16" s="605"/>
      <c r="I16" s="605"/>
      <c r="J16" s="605"/>
      <c r="K16" s="605" t="str">
        <f>'12.lan'!B185</f>
        <v>E3: Reduction of environmental impact</v>
      </c>
      <c r="L16" s="605"/>
      <c r="M16" s="605"/>
      <c r="N16" s="605"/>
      <c r="O16" s="605" t="str">
        <f>'12.lan'!B189</f>
        <v>E4: Social co-determination and transparency</v>
      </c>
      <c r="P16" s="605"/>
      <c r="Q16" s="605"/>
      <c r="R16" s="605"/>
    </row>
    <row r="17" spans="1:18" ht="16.5" customHeight="1">
      <c r="A17" s="9"/>
      <c r="B17" s="604"/>
      <c r="C17" s="262">
        <f>'3. Calc'!I77</f>
        <v>0</v>
      </c>
      <c r="D17" s="263" t="str">
        <f>'12.lan'!$D$214</f>
        <v>of</v>
      </c>
      <c r="E17" s="264">
        <f>'3. Calc'!J77</f>
        <v>51.282051282051277</v>
      </c>
      <c r="F17" s="265">
        <f>'3. Calc'!H77</f>
        <v>0</v>
      </c>
      <c r="G17" s="262">
        <f>'3. Calc'!I81</f>
        <v>0</v>
      </c>
      <c r="H17" s="263" t="str">
        <f>'12.lan'!$D$214</f>
        <v>of</v>
      </c>
      <c r="I17" s="264">
        <f>'3. Calc'!J81</f>
        <v>51.282051282051277</v>
      </c>
      <c r="J17" s="265">
        <f>'3. Calc'!H81</f>
        <v>0</v>
      </c>
      <c r="K17" s="262">
        <f>'3. Calc'!I86</f>
        <v>0</v>
      </c>
      <c r="L17" s="263" t="str">
        <f>'12.lan'!$D$214</f>
        <v>of</v>
      </c>
      <c r="M17" s="264">
        <f>'3. Calc'!J86</f>
        <v>51.282051282051277</v>
      </c>
      <c r="N17" s="265">
        <f>'3. Calc'!H86</f>
        <v>0</v>
      </c>
      <c r="O17" s="262">
        <f>'3. Calc'!I90</f>
        <v>0</v>
      </c>
      <c r="P17" s="263" t="str">
        <f>'12.lan'!$D$214</f>
        <v>of</v>
      </c>
      <c r="Q17" s="264">
        <f>'3. Calc'!J90</f>
        <v>51.282051282051277</v>
      </c>
      <c r="R17" s="265">
        <f>'3. Calc'!H90</f>
        <v>0</v>
      </c>
    </row>
  </sheetData>
  <sheetProtection algorithmName="SHA-512" hashValue="TWJBzEVBPXuSn5BEQEhOSLSgNIhE+cgt8rBWqLztwdXmn7DRzTpa0l5UNj3scQwWzLOHmBCHcXDAHPqge4NkJQ==" saltValue="2mNhpX27dNqNHGKjnN9UQA==" spinCount="100000" sheet="1" objects="1" scenarios="1"/>
  <mergeCells count="35">
    <mergeCell ref="I2:O2"/>
    <mergeCell ref="B3:G4"/>
    <mergeCell ref="I4:J5"/>
    <mergeCell ref="K4:L5"/>
    <mergeCell ref="M4:O5"/>
    <mergeCell ref="M6:O6"/>
    <mergeCell ref="C7:F7"/>
    <mergeCell ref="G7:J7"/>
    <mergeCell ref="K7:N7"/>
    <mergeCell ref="O7:R7"/>
    <mergeCell ref="B8:B9"/>
    <mergeCell ref="C8:F8"/>
    <mergeCell ref="G8:J8"/>
    <mergeCell ref="K8:N8"/>
    <mergeCell ref="O8:R8"/>
    <mergeCell ref="B10:B11"/>
    <mergeCell ref="C10:F10"/>
    <mergeCell ref="G10:J10"/>
    <mergeCell ref="K10:N10"/>
    <mergeCell ref="O10:R10"/>
    <mergeCell ref="B12:B13"/>
    <mergeCell ref="C12:F12"/>
    <mergeCell ref="G12:J12"/>
    <mergeCell ref="K12:N12"/>
    <mergeCell ref="O12:R12"/>
    <mergeCell ref="B14:B15"/>
    <mergeCell ref="C14:F14"/>
    <mergeCell ref="G14:J14"/>
    <mergeCell ref="K14:N14"/>
    <mergeCell ref="O14:R14"/>
    <mergeCell ref="B16:B17"/>
    <mergeCell ref="C16:F16"/>
    <mergeCell ref="G16:J16"/>
    <mergeCell ref="K16:N16"/>
    <mergeCell ref="O16:R16"/>
  </mergeCells>
  <conditionalFormatting sqref="F9 J9 N9 R9 R11 N11 J11 F11 F13 J13 N13 R13 R15 N15 J15 F15 F17 J17 N17 R17">
    <cfRule type="cellIs" dxfId="17" priority="1" operator="lessThan">
      <formula>0</formula>
    </cfRule>
  </conditionalFormatting>
  <pageMargins left="0.35416666666666669" right="0.59027777777777779" top="0.35416666666666669" bottom="0.59027777777777779" header="0.51180555555555551" footer="0.51180555555555551"/>
  <pageSetup paperSize="9" firstPageNumber="0" orientation="landscape" horizontalDpi="300" verticalDpi="30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G23"/>
  <sheetViews>
    <sheetView showGridLines="0" topLeftCell="A9" zoomScale="75" zoomScaleNormal="75" workbookViewId="0">
      <selection activeCell="F22" sqref="F22"/>
    </sheetView>
  </sheetViews>
  <sheetFormatPr baseColWidth="10" defaultColWidth="10.7109375" defaultRowHeight="14.1" customHeight="1"/>
  <cols>
    <col min="1" max="1" width="2.7109375" style="266" customWidth="1"/>
    <col min="2" max="2" width="49.85546875" style="266" customWidth="1"/>
    <col min="3" max="3" width="7.28515625" style="266" customWidth="1"/>
    <col min="4" max="4" width="5.28515625" style="267" customWidth="1"/>
    <col min="5" max="5" width="6.7109375" style="266" customWidth="1"/>
    <col min="6" max="6" width="15" style="268" customWidth="1"/>
    <col min="7" max="7" width="10.7109375" style="269" customWidth="1"/>
    <col min="8" max="16384" width="10.7109375" style="266"/>
  </cols>
  <sheetData>
    <row r="1" spans="1:6" ht="14.1" customHeight="1">
      <c r="A1" s="270"/>
      <c r="B1" s="271"/>
      <c r="C1" s="272"/>
      <c r="D1" s="271"/>
      <c r="E1" s="273"/>
      <c r="F1" s="272"/>
    </row>
    <row r="2" spans="1:6" ht="14.1" customHeight="1">
      <c r="A2" s="270"/>
      <c r="B2" s="616" t="str">
        <f>'12.lan'!D91&amp;" - "&amp;'0. Intro'!B3&amp;" "&amp;'0. Intro'!C3</f>
        <v>Common Good Balance Calculator - Version 5.02</v>
      </c>
      <c r="C2" s="616"/>
      <c r="D2" s="616"/>
      <c r="E2" s="616"/>
      <c r="F2" s="616"/>
    </row>
    <row r="3" spans="1:6" ht="7.5" customHeight="1">
      <c r="A3" s="270"/>
      <c r="B3" s="617" t="str">
        <f>'12.lan'!D241&amp;'1. General'!C6</f>
        <v xml:space="preserve">Values star for </v>
      </c>
      <c r="C3" s="617"/>
      <c r="D3" s="617"/>
      <c r="E3" s="617"/>
      <c r="F3" s="617"/>
    </row>
    <row r="4" spans="1:6" ht="15" customHeight="1">
      <c r="A4" s="270"/>
      <c r="B4" s="617"/>
      <c r="C4" s="617"/>
      <c r="D4" s="617"/>
      <c r="E4" s="617"/>
      <c r="F4" s="617"/>
    </row>
    <row r="5" spans="1:6" ht="30" customHeight="1">
      <c r="A5" s="270"/>
      <c r="B5" s="274"/>
      <c r="C5" s="272"/>
      <c r="D5" s="271"/>
      <c r="E5" s="273"/>
      <c r="F5" s="272"/>
    </row>
    <row r="6" spans="1:6" ht="14.1" customHeight="1">
      <c r="A6" s="270"/>
      <c r="B6" s="274"/>
      <c r="C6" s="272"/>
      <c r="D6" s="271"/>
      <c r="E6" s="273"/>
      <c r="F6" s="272"/>
    </row>
    <row r="7" spans="1:6" ht="14.1" customHeight="1">
      <c r="A7" s="270"/>
      <c r="B7" s="274"/>
      <c r="C7" s="275"/>
      <c r="D7" s="275"/>
      <c r="E7" s="274"/>
      <c r="F7" s="270"/>
    </row>
    <row r="8" spans="1:6" ht="15" customHeight="1">
      <c r="A8" s="270"/>
      <c r="B8" s="272"/>
      <c r="C8" s="272"/>
      <c r="D8" s="271"/>
      <c r="E8" s="273"/>
      <c r="F8" s="272"/>
    </row>
    <row r="9" spans="1:6" ht="30" customHeight="1">
      <c r="A9" s="270"/>
      <c r="B9" s="276"/>
      <c r="C9" s="277"/>
      <c r="D9" s="278"/>
      <c r="E9" s="277"/>
      <c r="F9" s="279"/>
    </row>
    <row r="10" spans="1:6" ht="30" customHeight="1">
      <c r="A10" s="270"/>
      <c r="B10" s="276"/>
      <c r="C10" s="277"/>
      <c r="D10" s="278"/>
      <c r="E10" s="277"/>
      <c r="F10" s="279"/>
    </row>
    <row r="11" spans="1:6" ht="30" customHeight="1">
      <c r="A11" s="270"/>
      <c r="B11" s="276"/>
      <c r="C11" s="277"/>
      <c r="D11" s="278"/>
      <c r="E11" s="277"/>
      <c r="F11" s="279"/>
    </row>
    <row r="12" spans="1:6" ht="30" customHeight="1">
      <c r="A12" s="270"/>
      <c r="B12" s="276"/>
      <c r="C12" s="277"/>
      <c r="D12" s="278"/>
      <c r="E12" s="277"/>
      <c r="F12" s="279"/>
    </row>
    <row r="13" spans="1:6" ht="30" customHeight="1">
      <c r="A13" s="270"/>
      <c r="B13" s="276"/>
      <c r="C13" s="277"/>
      <c r="D13" s="278"/>
      <c r="E13" s="277"/>
      <c r="F13" s="279"/>
    </row>
    <row r="14" spans="1:6" ht="14.1" customHeight="1">
      <c r="A14" s="270"/>
      <c r="B14" s="270"/>
      <c r="C14" s="270"/>
      <c r="D14" s="271"/>
      <c r="E14" s="270"/>
      <c r="F14" s="272"/>
    </row>
    <row r="15" spans="1:6" ht="15" customHeight="1">
      <c r="A15" s="270"/>
      <c r="B15" s="618"/>
      <c r="C15" s="618"/>
      <c r="D15" s="618"/>
      <c r="E15" s="618"/>
      <c r="F15" s="618"/>
    </row>
    <row r="16" spans="1:6" ht="93.75" customHeight="1">
      <c r="A16" s="270"/>
      <c r="B16" s="619"/>
      <c r="C16" s="619"/>
      <c r="D16" s="619"/>
      <c r="E16" s="619"/>
      <c r="F16" s="619"/>
    </row>
    <row r="17" spans="1:7" ht="30" customHeight="1">
      <c r="A17" s="270"/>
      <c r="B17" s="620" t="str">
        <f>'12.lan'!D221</f>
        <v>BALANCE OVERVIEW</v>
      </c>
      <c r="C17" s="620"/>
      <c r="D17" s="620"/>
      <c r="E17" s="620"/>
      <c r="F17" s="620"/>
    </row>
    <row r="18" spans="1:7" ht="26.25" customHeight="1">
      <c r="A18" s="270"/>
      <c r="B18" s="280" t="str">
        <f>'12.lan'!D216</f>
        <v>Human dignity</v>
      </c>
      <c r="C18" s="281">
        <f>'4. ECG-Matrix'!C9+'4. ECG-Matrix'!C11+'4. ECG-Matrix'!C13+'4. ECG-Matrix'!C15+'4. ECG-Matrix'!C17</f>
        <v>0</v>
      </c>
      <c r="D18" s="282" t="str">
        <f>'12.lan'!$D$214</f>
        <v>of</v>
      </c>
      <c r="E18" s="283">
        <f>'4. ECG-Matrix'!E9+'4. ECG-Matrix'!E11+'4. ECG-Matrix'!E13+'4. ECG-Matrix'!E15+'4. ECG-Matrix'!E17</f>
        <v>256.41025641025641</v>
      </c>
      <c r="F18" s="284">
        <f>C18/E18</f>
        <v>0</v>
      </c>
      <c r="G18" s="76">
        <f>IF(F18&lt;0,0,F18)</f>
        <v>0</v>
      </c>
    </row>
    <row r="19" spans="1:7" ht="26.25" customHeight="1">
      <c r="A19" s="270"/>
      <c r="B19" s="280" t="str">
        <f>'12.lan'!D217</f>
        <v>Solidarity &amp; social justice</v>
      </c>
      <c r="C19" s="281">
        <f>'4. ECG-Matrix'!G9+'4. ECG-Matrix'!G11+'4. ECG-Matrix'!G13+'4. ECG-Matrix'!G15+'4. ECG-Matrix'!G17</f>
        <v>0</v>
      </c>
      <c r="D19" s="282" t="str">
        <f>'12.lan'!$D$214</f>
        <v>of</v>
      </c>
      <c r="E19" s="283">
        <f>'4. ECG-Matrix'!I9+'4. ECG-Matrix'!I11+'4. ECG-Matrix'!I13+'4. ECG-Matrix'!I15+'4. ECG-Matrix'!I17</f>
        <v>256.41025641025641</v>
      </c>
      <c r="F19" s="284">
        <f>C19/E19</f>
        <v>0</v>
      </c>
      <c r="G19" s="76">
        <f>IF(F19&lt;0,0,F19)</f>
        <v>0</v>
      </c>
    </row>
    <row r="20" spans="1:7" ht="26.25" customHeight="1">
      <c r="A20" s="270"/>
      <c r="B20" s="280" t="str">
        <f>'12.lan'!D218</f>
        <v>Environmental sustainability</v>
      </c>
      <c r="C20" s="281">
        <f>'4. ECG-Matrix'!K9+'4. ECG-Matrix'!K11+'4. ECG-Matrix'!K13+'4. ECG-Matrix'!K15+'4. ECG-Matrix'!K17</f>
        <v>0</v>
      </c>
      <c r="D20" s="282" t="str">
        <f>'12.lan'!$D$214</f>
        <v>of</v>
      </c>
      <c r="E20" s="283">
        <f>'4. ECG-Matrix'!M9+'4. ECG-Matrix'!M11+'4. ECG-Matrix'!M13+'4. ECG-Matrix'!M15+'4. ECG-Matrix'!M17</f>
        <v>256.41025641025641</v>
      </c>
      <c r="F20" s="284">
        <f>C20/E20</f>
        <v>0</v>
      </c>
      <c r="G20" s="76">
        <f>IF(F20&lt;0,0,F20)</f>
        <v>0</v>
      </c>
    </row>
    <row r="21" spans="1:7" ht="26.25" customHeight="1">
      <c r="A21" s="270"/>
      <c r="B21" s="280" t="str">
        <f>'12.lan'!D219</f>
        <v>Transparency &amp; co-determination</v>
      </c>
      <c r="C21" s="281">
        <f>'4. ECG-Matrix'!O9+'4. ECG-Matrix'!O11+'4. ECG-Matrix'!O13+'4. ECG-Matrix'!O15+'4. ECG-Matrix'!O17</f>
        <v>0</v>
      </c>
      <c r="D21" s="282" t="str">
        <f>'12.lan'!$D$214</f>
        <v>of</v>
      </c>
      <c r="E21" s="283">
        <f>'4. ECG-Matrix'!Q9+'4. ECG-Matrix'!Q11+'4. ECG-Matrix'!Q13+'4. ECG-Matrix'!Q15+'4. ECG-Matrix'!Q17</f>
        <v>230.76923076923075</v>
      </c>
      <c r="F21" s="284">
        <f>C21/E21</f>
        <v>0</v>
      </c>
      <c r="G21" s="76">
        <f>IF(F21&lt;0,0,F21)</f>
        <v>0</v>
      </c>
    </row>
    <row r="22" spans="1:7" ht="30" customHeight="1">
      <c r="A22" s="270"/>
      <c r="B22" s="285" t="str">
        <f>'12.lan'!D228</f>
        <v>TOTAL</v>
      </c>
      <c r="C22" s="286">
        <f>'3. Calc'!I4</f>
        <v>0</v>
      </c>
      <c r="D22" s="287" t="str">
        <f>'12.lan'!$D$214</f>
        <v>of</v>
      </c>
      <c r="E22" s="288">
        <f>'3. Calc'!J4</f>
        <v>1000</v>
      </c>
      <c r="F22" s="289">
        <f>C22/E22</f>
        <v>0</v>
      </c>
    </row>
    <row r="23" spans="1:7" ht="14.1" customHeight="1">
      <c r="A23" s="270"/>
      <c r="B23" s="270"/>
      <c r="C23" s="270"/>
      <c r="D23" s="271"/>
      <c r="E23" s="270"/>
      <c r="F23" s="272"/>
    </row>
  </sheetData>
  <sheetProtection algorithmName="SHA-512" hashValue="SRQvOLuNrqjeFmp50J4khlI1UiE8f/LmHQMBFWNcXCvqKXPJCVp5q4N+qVVSaXld+tIQaMb8y72wRmlnFDUsIg==" saltValue="AIDRz5jZ+6dxcmkw0H3oLA==" spinCount="100000" sheet="1" objects="1" scenarios="1" selectLockedCells="1" selectUnlockedCells="1"/>
  <mergeCells count="5">
    <mergeCell ref="B2:F2"/>
    <mergeCell ref="B3:F4"/>
    <mergeCell ref="B15:F15"/>
    <mergeCell ref="B16:F16"/>
    <mergeCell ref="B17:F17"/>
  </mergeCells>
  <conditionalFormatting sqref="F18:F21">
    <cfRule type="cellIs" dxfId="16" priority="2" operator="lessThan">
      <formula>0</formula>
    </cfRule>
  </conditionalFormatting>
  <conditionalFormatting sqref="F22">
    <cfRule type="cellIs" dxfId="15" priority="1" operator="lessThan">
      <formula>0</formula>
    </cfRule>
  </conditionalFormatting>
  <pageMargins left="0.57986111111111116" right="0.77986111111111112" top="0.78749999999999998" bottom="0.78749999999999998" header="0.51180555555555551" footer="0.51180555555555551"/>
  <pageSetup paperSize="9" firstPageNumber="0" orientation="portrait" horizontalDpi="300" verticalDpi="30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
  <dimension ref="A1:G24"/>
  <sheetViews>
    <sheetView showGridLines="0" zoomScale="75" zoomScaleNormal="75" workbookViewId="0">
      <selection activeCell="F23" sqref="F23"/>
    </sheetView>
  </sheetViews>
  <sheetFormatPr baseColWidth="10" defaultColWidth="10.7109375" defaultRowHeight="14.1" customHeight="1"/>
  <cols>
    <col min="1" max="1" width="2.7109375" style="266" customWidth="1"/>
    <col min="2" max="2" width="54.28515625" style="266" customWidth="1"/>
    <col min="3" max="3" width="7.28515625" style="266" customWidth="1"/>
    <col min="4" max="4" width="5.28515625" style="267" customWidth="1"/>
    <col min="5" max="5" width="6.7109375" style="266" customWidth="1"/>
    <col min="6" max="6" width="15" style="268" customWidth="1"/>
    <col min="7" max="7" width="10.7109375" style="269" customWidth="1"/>
    <col min="8" max="16384" width="10.7109375" style="266"/>
  </cols>
  <sheetData>
    <row r="1" spans="1:6" ht="14.1" customHeight="1">
      <c r="A1" s="270"/>
      <c r="B1" s="271"/>
      <c r="C1" s="272"/>
      <c r="D1" s="271"/>
      <c r="E1" s="273"/>
      <c r="F1" s="272"/>
    </row>
    <row r="2" spans="1:6" ht="14.1" customHeight="1">
      <c r="A2" s="270"/>
      <c r="B2" s="616" t="str">
        <f>'12.lan'!D91&amp;" - "&amp;'0. Intro'!B3&amp;" "&amp;'0. Intro'!C3</f>
        <v>Common Good Balance Calculator - Version 5.02</v>
      </c>
      <c r="C2" s="616"/>
      <c r="D2" s="616"/>
      <c r="E2" s="616"/>
      <c r="F2" s="616"/>
    </row>
    <row r="3" spans="1:6" ht="7.5" customHeight="1">
      <c r="A3" s="270"/>
      <c r="B3" s="617" t="str">
        <f>'12.lan'!D242&amp;'1. General'!C6</f>
        <v xml:space="preserve">Group star for </v>
      </c>
      <c r="C3" s="617"/>
      <c r="D3" s="617"/>
      <c r="E3" s="617"/>
      <c r="F3" s="617"/>
    </row>
    <row r="4" spans="1:6" ht="15" customHeight="1">
      <c r="A4" s="270"/>
      <c r="B4" s="617"/>
      <c r="C4" s="617"/>
      <c r="D4" s="617"/>
      <c r="E4" s="617"/>
      <c r="F4" s="617"/>
    </row>
    <row r="5" spans="1:6" ht="30" customHeight="1">
      <c r="A5" s="270"/>
      <c r="B5" s="274"/>
      <c r="C5" s="272"/>
      <c r="D5" s="271"/>
      <c r="E5" s="273"/>
      <c r="F5" s="272"/>
    </row>
    <row r="6" spans="1:6" ht="14.1" customHeight="1">
      <c r="A6" s="270"/>
      <c r="B6" s="274"/>
      <c r="C6" s="272"/>
      <c r="D6" s="271"/>
      <c r="E6" s="273"/>
      <c r="F6" s="272"/>
    </row>
    <row r="7" spans="1:6" ht="14.1" customHeight="1">
      <c r="A7" s="270"/>
      <c r="B7" s="274"/>
      <c r="C7" s="275"/>
      <c r="D7" s="275"/>
      <c r="E7" s="274"/>
      <c r="F7" s="270"/>
    </row>
    <row r="8" spans="1:6" ht="15" customHeight="1">
      <c r="A8" s="270"/>
      <c r="B8" s="272"/>
      <c r="C8" s="272"/>
      <c r="D8" s="271"/>
      <c r="E8" s="273"/>
      <c r="F8" s="272"/>
    </row>
    <row r="9" spans="1:6" ht="30" customHeight="1">
      <c r="A9" s="270"/>
      <c r="B9" s="276"/>
      <c r="C9" s="277"/>
      <c r="D9" s="278"/>
      <c r="E9" s="277"/>
      <c r="F9" s="279"/>
    </row>
    <row r="10" spans="1:6" ht="30" customHeight="1">
      <c r="A10" s="270"/>
      <c r="B10" s="276"/>
      <c r="C10" s="277"/>
      <c r="D10" s="278"/>
      <c r="E10" s="277"/>
      <c r="F10" s="279"/>
    </row>
    <row r="11" spans="1:6" ht="30" customHeight="1">
      <c r="A11" s="270"/>
      <c r="B11" s="276"/>
      <c r="C11" s="277"/>
      <c r="D11" s="278"/>
      <c r="E11" s="277"/>
      <c r="F11" s="279"/>
    </row>
    <row r="12" spans="1:6" ht="30" customHeight="1">
      <c r="A12" s="270"/>
      <c r="B12" s="276"/>
      <c r="C12" s="277"/>
      <c r="D12" s="278"/>
      <c r="E12" s="277"/>
      <c r="F12" s="279"/>
    </row>
    <row r="13" spans="1:6" ht="30" customHeight="1">
      <c r="A13" s="270"/>
      <c r="B13" s="276"/>
      <c r="C13" s="277"/>
      <c r="D13" s="278"/>
      <c r="E13" s="277"/>
      <c r="F13" s="279"/>
    </row>
    <row r="14" spans="1:6" ht="14.1" customHeight="1">
      <c r="A14" s="270"/>
      <c r="B14" s="270"/>
      <c r="C14" s="270"/>
      <c r="D14" s="271"/>
      <c r="E14" s="270"/>
      <c r="F14" s="272"/>
    </row>
    <row r="15" spans="1:6" ht="15" customHeight="1">
      <c r="A15" s="270"/>
      <c r="B15" s="618"/>
      <c r="C15" s="618"/>
      <c r="D15" s="618"/>
      <c r="E15" s="618"/>
      <c r="F15" s="618"/>
    </row>
    <row r="16" spans="1:6" ht="93.75" customHeight="1">
      <c r="A16" s="270"/>
      <c r="B16" s="619"/>
      <c r="C16" s="619"/>
      <c r="D16" s="619"/>
      <c r="E16" s="619"/>
      <c r="F16" s="619"/>
    </row>
    <row r="17" spans="1:7" ht="30" customHeight="1">
      <c r="A17" s="270"/>
      <c r="B17" s="620" t="str">
        <f>'12.lan'!D221</f>
        <v>BALANCE OVERVIEW</v>
      </c>
      <c r="C17" s="620"/>
      <c r="D17" s="620"/>
      <c r="E17" s="620"/>
      <c r="F17" s="620"/>
    </row>
    <row r="18" spans="1:7" ht="26.25" customHeight="1">
      <c r="A18" s="270"/>
      <c r="B18" s="280" t="str">
        <f>'12.lan'!D108</f>
        <v>Suppliers</v>
      </c>
      <c r="C18" s="281">
        <f>'3. Calc'!I9</f>
        <v>0</v>
      </c>
      <c r="D18" s="282" t="str">
        <f>'12.lan'!$D$214</f>
        <v>of</v>
      </c>
      <c r="E18" s="283">
        <f>'3. Calc'!J9</f>
        <v>179.48717948717947</v>
      </c>
      <c r="F18" s="284">
        <f t="shared" ref="F18:F23" si="0">C18/E18</f>
        <v>0</v>
      </c>
      <c r="G18" s="76">
        <f>IF(F18&lt;0,0,F18)</f>
        <v>0</v>
      </c>
    </row>
    <row r="19" spans="1:7" ht="26.25" customHeight="1">
      <c r="A19" s="270"/>
      <c r="B19" s="280" t="str">
        <f>'12.lan'!D122</f>
        <v>Owners, equity- and financial service providers</v>
      </c>
      <c r="C19" s="281">
        <f>'3. Calc'!I23</f>
        <v>0</v>
      </c>
      <c r="D19" s="282" t="str">
        <f>'12.lan'!$D$214</f>
        <v>of</v>
      </c>
      <c r="E19" s="283">
        <f>'3. Calc'!J23</f>
        <v>205.12820512820511</v>
      </c>
      <c r="F19" s="284">
        <f t="shared" si="0"/>
        <v>0</v>
      </c>
      <c r="G19" s="76">
        <f>IF(F19&lt;0,0,F19)</f>
        <v>0</v>
      </c>
    </row>
    <row r="20" spans="1:7" ht="26.25" customHeight="1">
      <c r="A20" s="270"/>
      <c r="B20" s="280" t="str">
        <f>'12.lan'!D137</f>
        <v>Employees</v>
      </c>
      <c r="C20" s="281">
        <f>'3. Calc'!I38</f>
        <v>0</v>
      </c>
      <c r="D20" s="282" t="str">
        <f>'12.lan'!$D$214</f>
        <v>of</v>
      </c>
      <c r="E20" s="283">
        <f>'3. Calc'!J38</f>
        <v>205.12820512820511</v>
      </c>
      <c r="F20" s="284">
        <f t="shared" si="0"/>
        <v>0</v>
      </c>
      <c r="G20" s="76">
        <f>IF(F20&lt;0,0,F20)</f>
        <v>0</v>
      </c>
    </row>
    <row r="21" spans="1:7" ht="26.25" customHeight="1">
      <c r="A21" s="270"/>
      <c r="B21" s="280" t="str">
        <f>'12.lan'!D158</f>
        <v>Customers and other companies</v>
      </c>
      <c r="C21" s="281">
        <f>'3. Calc'!I59</f>
        <v>0</v>
      </c>
      <c r="D21" s="282" t="str">
        <f>'12.lan'!$D$214</f>
        <v>of</v>
      </c>
      <c r="E21" s="283">
        <f>'3. Calc'!J59</f>
        <v>205.12820512820511</v>
      </c>
      <c r="F21" s="284">
        <f t="shared" si="0"/>
        <v>0</v>
      </c>
      <c r="G21" s="76">
        <f>IF(F21&lt;0,0,F21)</f>
        <v>0</v>
      </c>
    </row>
    <row r="22" spans="1:7" ht="26.25" customHeight="1">
      <c r="A22" s="270"/>
      <c r="B22" s="280" t="str">
        <f>'12.lan'!D175</f>
        <v>Social environment</v>
      </c>
      <c r="C22" s="281">
        <f>'3. Calc'!I76</f>
        <v>0</v>
      </c>
      <c r="D22" s="282" t="str">
        <f>'12.lan'!$D$214</f>
        <v>of</v>
      </c>
      <c r="E22" s="283">
        <f>'3. Calc'!J76</f>
        <v>205.12820512820511</v>
      </c>
      <c r="F22" s="284">
        <f t="shared" si="0"/>
        <v>0</v>
      </c>
      <c r="G22" s="76">
        <f>IF(F22&lt;0,0,F22)</f>
        <v>0</v>
      </c>
    </row>
    <row r="23" spans="1:7" ht="30" customHeight="1">
      <c r="A23" s="270"/>
      <c r="B23" s="285" t="str">
        <f>'12.lan'!D228</f>
        <v>TOTAL</v>
      </c>
      <c r="C23" s="286">
        <f>'3. Calc'!I4</f>
        <v>0</v>
      </c>
      <c r="D23" s="287" t="str">
        <f>'12.lan'!$D$214</f>
        <v>of</v>
      </c>
      <c r="E23" s="288">
        <f>'3. Calc'!J4</f>
        <v>1000</v>
      </c>
      <c r="F23" s="289">
        <f t="shared" si="0"/>
        <v>0</v>
      </c>
    </row>
    <row r="24" spans="1:7" ht="14.1" customHeight="1">
      <c r="A24" s="270"/>
      <c r="B24" s="270"/>
      <c r="C24" s="270"/>
      <c r="D24" s="271"/>
      <c r="E24" s="270"/>
      <c r="F24" s="272"/>
    </row>
  </sheetData>
  <sheetProtection algorithmName="SHA-512" hashValue="8lwHLdTaUhHKSYb1fxDSgM0GQIIeIW/1Ap1f2NDZVtHM/OFwHJg9Wmzar/Y/bXDvMO3RWFwX0lqhueRm0UKcfg==" saltValue="OnLkOuFXSJibLf3z1cGIdA==" spinCount="100000" sheet="1" objects="1" scenarios="1" selectLockedCells="1" selectUnlockedCells="1"/>
  <mergeCells count="5">
    <mergeCell ref="B2:F2"/>
    <mergeCell ref="B3:F4"/>
    <mergeCell ref="B15:F15"/>
    <mergeCell ref="B16:F16"/>
    <mergeCell ref="B17:F17"/>
  </mergeCells>
  <conditionalFormatting sqref="F18:F22">
    <cfRule type="cellIs" dxfId="14" priority="2" operator="lessThan">
      <formula>0</formula>
    </cfRule>
  </conditionalFormatting>
  <conditionalFormatting sqref="F23">
    <cfRule type="cellIs" dxfId="13" priority="1" operator="lessThan">
      <formula>0</formula>
    </cfRule>
  </conditionalFormatting>
  <pageMargins left="0.57986111111111116" right="0.77986111111111112" top="0.78749999999999998" bottom="0.78749999999999998" header="0.51180555555555551" footer="0.51180555555555551"/>
  <pageSetup paperSize="9" firstPageNumber="0" orientation="portrait" horizontalDpi="300" verticalDpi="30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8"/>
  <dimension ref="A1:G39"/>
  <sheetViews>
    <sheetView showGridLines="0" zoomScale="75" zoomScaleNormal="75" workbookViewId="0">
      <selection activeCell="F39" sqref="F39"/>
    </sheetView>
  </sheetViews>
  <sheetFormatPr baseColWidth="10" defaultColWidth="10.7109375" defaultRowHeight="14.1" customHeight="1"/>
  <cols>
    <col min="1" max="1" width="2.7109375" style="266" customWidth="1"/>
    <col min="2" max="2" width="49.85546875" style="266" customWidth="1"/>
    <col min="3" max="3" width="7.28515625" style="266" customWidth="1"/>
    <col min="4" max="4" width="5.28515625" style="267" customWidth="1"/>
    <col min="5" max="5" width="6.7109375" style="266" customWidth="1"/>
    <col min="6" max="6" width="15" style="268" customWidth="1"/>
    <col min="7" max="7" width="10.7109375" style="269" customWidth="1"/>
    <col min="8" max="16384" width="10.7109375" style="266"/>
  </cols>
  <sheetData>
    <row r="1" spans="1:6" ht="14.1" customHeight="1">
      <c r="A1" s="270"/>
      <c r="B1" s="271"/>
      <c r="C1" s="272"/>
      <c r="D1" s="271"/>
      <c r="E1" s="273"/>
      <c r="F1" s="272"/>
    </row>
    <row r="2" spans="1:6" ht="14.1" customHeight="1">
      <c r="A2" s="270"/>
      <c r="B2" s="616" t="str">
        <f>'12.lan'!D91&amp;" - "&amp;'0. Intro'!B3&amp;" "&amp;'0. Intro'!C3</f>
        <v>Common Good Balance Calculator - Version 5.02</v>
      </c>
      <c r="C2" s="616"/>
      <c r="D2" s="616"/>
      <c r="E2" s="616"/>
      <c r="F2" s="616"/>
    </row>
    <row r="3" spans="1:6" ht="7.5" customHeight="1">
      <c r="A3" s="270"/>
      <c r="B3" s="617" t="str">
        <f>'12.lan'!D243&amp;'1. General'!C6</f>
        <v xml:space="preserve">Theme star for </v>
      </c>
      <c r="C3" s="617"/>
      <c r="D3" s="617"/>
      <c r="E3" s="617"/>
      <c r="F3" s="617"/>
    </row>
    <row r="4" spans="1:6" ht="15" customHeight="1">
      <c r="A4" s="270"/>
      <c r="B4" s="617"/>
      <c r="C4" s="617"/>
      <c r="D4" s="617"/>
      <c r="E4" s="617"/>
      <c r="F4" s="617"/>
    </row>
    <row r="5" spans="1:6" ht="30" customHeight="1">
      <c r="A5" s="270"/>
      <c r="B5" s="274"/>
      <c r="C5" s="272"/>
      <c r="D5" s="271"/>
      <c r="E5" s="273"/>
      <c r="F5" s="272"/>
    </row>
    <row r="6" spans="1:6" ht="14.1" customHeight="1">
      <c r="A6" s="270"/>
      <c r="B6" s="274"/>
      <c r="C6" s="272"/>
      <c r="D6" s="271"/>
      <c r="E6" s="273"/>
      <c r="F6" s="272"/>
    </row>
    <row r="7" spans="1:6" ht="14.1" customHeight="1">
      <c r="A7" s="270"/>
      <c r="B7" s="274"/>
      <c r="C7" s="275"/>
      <c r="D7" s="275"/>
      <c r="E7" s="274"/>
      <c r="F7" s="270"/>
    </row>
    <row r="8" spans="1:6" ht="15" customHeight="1">
      <c r="A8" s="270"/>
      <c r="B8" s="272"/>
      <c r="C8" s="272"/>
      <c r="D8" s="271"/>
      <c r="E8" s="273"/>
      <c r="F8" s="272"/>
    </row>
    <row r="9" spans="1:6" ht="30" customHeight="1">
      <c r="A9" s="270"/>
      <c r="B9" s="276"/>
      <c r="C9" s="277"/>
      <c r="D9" s="278"/>
      <c r="E9" s="277"/>
      <c r="F9" s="279"/>
    </row>
    <row r="10" spans="1:6" ht="30" customHeight="1">
      <c r="A10" s="270"/>
      <c r="B10" s="276"/>
      <c r="C10" s="277"/>
      <c r="D10" s="278"/>
      <c r="E10" s="277"/>
      <c r="F10" s="279"/>
    </row>
    <row r="11" spans="1:6" ht="30" customHeight="1">
      <c r="A11" s="270"/>
      <c r="B11" s="276"/>
      <c r="C11" s="277"/>
      <c r="D11" s="278"/>
      <c r="E11" s="277"/>
      <c r="F11" s="279"/>
    </row>
    <row r="12" spans="1:6" ht="30" customHeight="1">
      <c r="A12" s="270"/>
      <c r="B12" s="276"/>
      <c r="C12" s="277"/>
      <c r="D12" s="278"/>
      <c r="E12" s="277"/>
      <c r="F12" s="279"/>
    </row>
    <row r="13" spans="1:6" ht="30" customHeight="1">
      <c r="A13" s="270"/>
      <c r="B13" s="276"/>
      <c r="C13" s="277"/>
      <c r="D13" s="278"/>
      <c r="E13" s="277"/>
      <c r="F13" s="279"/>
    </row>
    <row r="14" spans="1:6" ht="14.1" customHeight="1">
      <c r="A14" s="270"/>
      <c r="B14" s="270"/>
      <c r="C14" s="270"/>
      <c r="D14" s="271"/>
      <c r="E14" s="270"/>
      <c r="F14" s="272"/>
    </row>
    <row r="15" spans="1:6" ht="15" customHeight="1">
      <c r="A15" s="270"/>
      <c r="B15" s="618"/>
      <c r="C15" s="618"/>
      <c r="D15" s="618"/>
      <c r="E15" s="618"/>
      <c r="F15" s="618"/>
    </row>
    <row r="16" spans="1:6" ht="93.75" customHeight="1">
      <c r="A16" s="270"/>
      <c r="B16" s="619"/>
      <c r="C16" s="619"/>
      <c r="D16" s="619"/>
      <c r="E16" s="619"/>
      <c r="F16" s="619"/>
    </row>
    <row r="17" spans="1:7" ht="30" customHeight="1">
      <c r="A17" s="270"/>
      <c r="B17" s="620" t="str">
        <f>'12.lan'!D221</f>
        <v>BALANCE OVERVIEW</v>
      </c>
      <c r="C17" s="620"/>
      <c r="D17" s="620"/>
      <c r="E17" s="620"/>
      <c r="F17" s="620"/>
    </row>
    <row r="18" spans="1:7" s="269" customFormat="1" ht="26.25" customHeight="1">
      <c r="A18" s="270"/>
      <c r="B18" s="280" t="s">
        <v>14</v>
      </c>
      <c r="C18" s="281">
        <f>'4. ECG-Matrix'!C9</f>
        <v>0</v>
      </c>
      <c r="D18" s="282" t="str">
        <f>'12.lan'!$D$214</f>
        <v>of</v>
      </c>
      <c r="E18" s="283">
        <f>'4. ECG-Matrix'!E9</f>
        <v>51.282051282051277</v>
      </c>
      <c r="F18" s="534">
        <f t="shared" ref="F18:F38" si="0">C18/E18</f>
        <v>0</v>
      </c>
      <c r="G18" s="76">
        <f t="shared" ref="G18:G37" si="1">IF(F18&lt;0,0,F18)</f>
        <v>0</v>
      </c>
    </row>
    <row r="19" spans="1:7" s="269" customFormat="1" ht="26.25" customHeight="1">
      <c r="A19" s="270"/>
      <c r="B19" s="280" t="s">
        <v>17</v>
      </c>
      <c r="C19" s="281">
        <f>'4. ECG-Matrix'!G9</f>
        <v>0</v>
      </c>
      <c r="D19" s="282" t="str">
        <f>'12.lan'!$D$214</f>
        <v>of</v>
      </c>
      <c r="E19" s="283">
        <f>'4. ECG-Matrix'!I9</f>
        <v>51.282051282051277</v>
      </c>
      <c r="F19" s="534">
        <f t="shared" si="0"/>
        <v>0</v>
      </c>
      <c r="G19" s="76">
        <f t="shared" si="1"/>
        <v>0</v>
      </c>
    </row>
    <row r="20" spans="1:7" s="269" customFormat="1" ht="26.25" customHeight="1">
      <c r="A20" s="270"/>
      <c r="B20" s="280" t="s">
        <v>21</v>
      </c>
      <c r="C20" s="281">
        <f>'4. ECG-Matrix'!K9</f>
        <v>0</v>
      </c>
      <c r="D20" s="282" t="str">
        <f>'12.lan'!$D$214</f>
        <v>of</v>
      </c>
      <c r="E20" s="283">
        <f>'4. ECG-Matrix'!M9</f>
        <v>51.282051282051277</v>
      </c>
      <c r="F20" s="534">
        <f t="shared" si="0"/>
        <v>0</v>
      </c>
      <c r="G20" s="76">
        <f t="shared" si="1"/>
        <v>0</v>
      </c>
    </row>
    <row r="21" spans="1:7" s="269" customFormat="1" ht="26.25" customHeight="1">
      <c r="A21" s="270"/>
      <c r="B21" s="280" t="s">
        <v>24</v>
      </c>
      <c r="C21" s="281">
        <f>'4. ECG-Matrix'!O9</f>
        <v>0</v>
      </c>
      <c r="D21" s="282" t="str">
        <f>'12.lan'!$D$214</f>
        <v>of</v>
      </c>
      <c r="E21" s="283">
        <f>'4. ECG-Matrix'!Q9</f>
        <v>25.641025641025639</v>
      </c>
      <c r="F21" s="534">
        <f t="shared" si="0"/>
        <v>0</v>
      </c>
      <c r="G21" s="76">
        <f t="shared" si="1"/>
        <v>0</v>
      </c>
    </row>
    <row r="22" spans="1:7" s="269" customFormat="1" ht="26.25" customHeight="1">
      <c r="A22" s="270"/>
      <c r="B22" s="280" t="s">
        <v>28</v>
      </c>
      <c r="C22" s="281">
        <f>'4. ECG-Matrix'!C11</f>
        <v>0</v>
      </c>
      <c r="D22" s="282" t="str">
        <f>'12.lan'!$D$214</f>
        <v>of</v>
      </c>
      <c r="E22" s="283">
        <f>'4. ECG-Matrix'!E11</f>
        <v>51.282051282051277</v>
      </c>
      <c r="F22" s="534">
        <f t="shared" si="0"/>
        <v>0</v>
      </c>
      <c r="G22" s="76">
        <f t="shared" si="1"/>
        <v>0</v>
      </c>
    </row>
    <row r="23" spans="1:7" s="269" customFormat="1" ht="26.25" customHeight="1">
      <c r="A23" s="270"/>
      <c r="B23" s="280" t="s">
        <v>32</v>
      </c>
      <c r="C23" s="281">
        <f>'4. ECG-Matrix'!G11</f>
        <v>0</v>
      </c>
      <c r="D23" s="282" t="str">
        <f>'12.lan'!$D$214</f>
        <v>of</v>
      </c>
      <c r="E23" s="283">
        <f>'4. ECG-Matrix'!I11</f>
        <v>51.282051282051277</v>
      </c>
      <c r="F23" s="534">
        <f t="shared" si="0"/>
        <v>0</v>
      </c>
      <c r="G23" s="76">
        <f t="shared" si="1"/>
        <v>0</v>
      </c>
    </row>
    <row r="24" spans="1:7" s="269" customFormat="1" ht="26.25" customHeight="1">
      <c r="A24" s="270"/>
      <c r="B24" s="280" t="s">
        <v>35</v>
      </c>
      <c r="C24" s="281">
        <f>'4. ECG-Matrix'!K11</f>
        <v>0</v>
      </c>
      <c r="D24" s="282" t="str">
        <f>'12.lan'!$D$214</f>
        <v>of</v>
      </c>
      <c r="E24" s="283">
        <f>'4. ECG-Matrix'!M11</f>
        <v>51.282051282051277</v>
      </c>
      <c r="F24" s="534">
        <f t="shared" si="0"/>
        <v>0</v>
      </c>
      <c r="G24" s="76">
        <f t="shared" si="1"/>
        <v>0</v>
      </c>
    </row>
    <row r="25" spans="1:7" s="269" customFormat="1" ht="26.25" customHeight="1">
      <c r="A25" s="270"/>
      <c r="B25" s="280" t="s">
        <v>39</v>
      </c>
      <c r="C25" s="281">
        <f>'4. ECG-Matrix'!O11</f>
        <v>0</v>
      </c>
      <c r="D25" s="282" t="str">
        <f>'12.lan'!$D$214</f>
        <v>of</v>
      </c>
      <c r="E25" s="283">
        <f>'4. ECG-Matrix'!Q11</f>
        <v>51.282051282051277</v>
      </c>
      <c r="F25" s="534">
        <f t="shared" si="0"/>
        <v>0</v>
      </c>
      <c r="G25" s="76">
        <f t="shared" si="1"/>
        <v>0</v>
      </c>
    </row>
    <row r="26" spans="1:7" s="269" customFormat="1" ht="26.25" customHeight="1">
      <c r="A26" s="270"/>
      <c r="B26" s="280" t="s">
        <v>43</v>
      </c>
      <c r="C26" s="281">
        <f>'4. ECG-Matrix'!C13</f>
        <v>0</v>
      </c>
      <c r="D26" s="282" t="str">
        <f>'12.lan'!$D$214</f>
        <v>of</v>
      </c>
      <c r="E26" s="283">
        <f>'4. ECG-Matrix'!E13</f>
        <v>51.282051282051277</v>
      </c>
      <c r="F26" s="534">
        <f t="shared" si="0"/>
        <v>0</v>
      </c>
      <c r="G26" s="76">
        <f t="shared" si="1"/>
        <v>0</v>
      </c>
    </row>
    <row r="27" spans="1:7" s="269" customFormat="1" ht="26.25" customHeight="1">
      <c r="A27" s="270"/>
      <c r="B27" s="280" t="s">
        <v>48</v>
      </c>
      <c r="C27" s="281">
        <f>'4. ECG-Matrix'!G13</f>
        <v>0</v>
      </c>
      <c r="D27" s="282" t="str">
        <f>'12.lan'!$D$214</f>
        <v>of</v>
      </c>
      <c r="E27" s="283">
        <f>'4. ECG-Matrix'!I13</f>
        <v>51.282051282051277</v>
      </c>
      <c r="F27" s="534">
        <f t="shared" si="0"/>
        <v>0</v>
      </c>
      <c r="G27" s="76">
        <f t="shared" si="1"/>
        <v>0</v>
      </c>
    </row>
    <row r="28" spans="1:7" s="269" customFormat="1" ht="26.25" customHeight="1">
      <c r="A28" s="270"/>
      <c r="B28" s="280" t="s">
        <v>53</v>
      </c>
      <c r="C28" s="281">
        <f>'4. ECG-Matrix'!K13</f>
        <v>0</v>
      </c>
      <c r="D28" s="282" t="str">
        <f>'12.lan'!$D$214</f>
        <v>of</v>
      </c>
      <c r="E28" s="283">
        <f>'4. ECG-Matrix'!M13</f>
        <v>51.282051282051277</v>
      </c>
      <c r="F28" s="534">
        <f t="shared" si="0"/>
        <v>0</v>
      </c>
      <c r="G28" s="76">
        <f t="shared" si="1"/>
        <v>0</v>
      </c>
    </row>
    <row r="29" spans="1:7" s="269" customFormat="1" ht="26.25" customHeight="1">
      <c r="A29" s="270"/>
      <c r="B29" s="280" t="s">
        <v>58</v>
      </c>
      <c r="C29" s="281">
        <f>'4. ECG-Matrix'!O13</f>
        <v>0</v>
      </c>
      <c r="D29" s="282" t="str">
        <f>'12.lan'!$D$214</f>
        <v>of</v>
      </c>
      <c r="E29" s="283">
        <f>'4. ECG-Matrix'!Q13</f>
        <v>51.282051282051277</v>
      </c>
      <c r="F29" s="534">
        <f t="shared" si="0"/>
        <v>0</v>
      </c>
      <c r="G29" s="76">
        <f t="shared" si="1"/>
        <v>0</v>
      </c>
    </row>
    <row r="30" spans="1:7" s="269" customFormat="1" ht="26.25" customHeight="1">
      <c r="A30" s="270"/>
      <c r="B30" s="280" t="s">
        <v>64</v>
      </c>
      <c r="C30" s="281">
        <f>'4. ECG-Matrix'!C15</f>
        <v>0</v>
      </c>
      <c r="D30" s="282" t="str">
        <f>'12.lan'!$D$214</f>
        <v>of</v>
      </c>
      <c r="E30" s="283">
        <f>'4. ECG-Matrix'!E15</f>
        <v>51.282051282051277</v>
      </c>
      <c r="F30" s="534">
        <f t="shared" si="0"/>
        <v>0</v>
      </c>
      <c r="G30" s="76">
        <f t="shared" si="1"/>
        <v>0</v>
      </c>
    </row>
    <row r="31" spans="1:7" s="269" customFormat="1" ht="26.25" customHeight="1">
      <c r="A31" s="270"/>
      <c r="B31" s="280" t="s">
        <v>68</v>
      </c>
      <c r="C31" s="281">
        <f>'4. ECG-Matrix'!G15</f>
        <v>0</v>
      </c>
      <c r="D31" s="282" t="str">
        <f>'12.lan'!$D$214</f>
        <v>of</v>
      </c>
      <c r="E31" s="283">
        <f>'4. ECG-Matrix'!I15</f>
        <v>51.282051282051277</v>
      </c>
      <c r="F31" s="534">
        <f t="shared" si="0"/>
        <v>0</v>
      </c>
      <c r="G31" s="76">
        <f t="shared" si="1"/>
        <v>0</v>
      </c>
    </row>
    <row r="32" spans="1:7" s="269" customFormat="1" ht="26.25" customHeight="1">
      <c r="A32" s="270"/>
      <c r="B32" s="280" t="s">
        <v>72</v>
      </c>
      <c r="C32" s="281">
        <f>'4. ECG-Matrix'!K15</f>
        <v>0</v>
      </c>
      <c r="D32" s="282" t="str">
        <f>'12.lan'!$D$214</f>
        <v>of</v>
      </c>
      <c r="E32" s="283">
        <f>'4. ECG-Matrix'!M15</f>
        <v>51.282051282051277</v>
      </c>
      <c r="F32" s="534">
        <f t="shared" si="0"/>
        <v>0</v>
      </c>
      <c r="G32" s="76">
        <f t="shared" si="1"/>
        <v>0</v>
      </c>
    </row>
    <row r="33" spans="1:7" s="269" customFormat="1" ht="26.25" customHeight="1">
      <c r="A33" s="270"/>
      <c r="B33" s="280" t="s">
        <v>76</v>
      </c>
      <c r="C33" s="281">
        <f>'4. ECG-Matrix'!O15</f>
        <v>0</v>
      </c>
      <c r="D33" s="282" t="str">
        <f>'12.lan'!$D$214</f>
        <v>of</v>
      </c>
      <c r="E33" s="283">
        <f>'4. ECG-Matrix'!Q15</f>
        <v>51.282051282051277</v>
      </c>
      <c r="F33" s="534">
        <f t="shared" si="0"/>
        <v>0</v>
      </c>
      <c r="G33" s="76">
        <f t="shared" si="1"/>
        <v>0</v>
      </c>
    </row>
    <row r="34" spans="1:7" s="269" customFormat="1" ht="26.25" customHeight="1">
      <c r="A34" s="270"/>
      <c r="B34" s="280" t="s">
        <v>80</v>
      </c>
      <c r="C34" s="281">
        <f>'4. ECG-Matrix'!C17</f>
        <v>0</v>
      </c>
      <c r="D34" s="282" t="str">
        <f>'12.lan'!$D$214</f>
        <v>of</v>
      </c>
      <c r="E34" s="283">
        <f>'4. ECG-Matrix'!E17</f>
        <v>51.282051282051277</v>
      </c>
      <c r="F34" s="534">
        <f t="shared" si="0"/>
        <v>0</v>
      </c>
      <c r="G34" s="76">
        <f t="shared" si="1"/>
        <v>0</v>
      </c>
    </row>
    <row r="35" spans="1:7" s="269" customFormat="1" ht="26.25" customHeight="1">
      <c r="A35" s="270"/>
      <c r="B35" s="280" t="s">
        <v>84</v>
      </c>
      <c r="C35" s="281">
        <f>'4. ECG-Matrix'!G17</f>
        <v>0</v>
      </c>
      <c r="D35" s="282" t="str">
        <f>'12.lan'!$D$214</f>
        <v>of</v>
      </c>
      <c r="E35" s="283">
        <f>'4. ECG-Matrix'!I17</f>
        <v>51.282051282051277</v>
      </c>
      <c r="F35" s="534">
        <f t="shared" si="0"/>
        <v>0</v>
      </c>
      <c r="G35" s="76">
        <f t="shared" si="1"/>
        <v>0</v>
      </c>
    </row>
    <row r="36" spans="1:7" s="269" customFormat="1" ht="26.25" customHeight="1">
      <c r="A36" s="270"/>
      <c r="B36" s="280" t="s">
        <v>89</v>
      </c>
      <c r="C36" s="281">
        <f>'4. ECG-Matrix'!K17</f>
        <v>0</v>
      </c>
      <c r="D36" s="282" t="str">
        <f>'12.lan'!$D$214</f>
        <v>of</v>
      </c>
      <c r="E36" s="283">
        <f>'4. ECG-Matrix'!M17</f>
        <v>51.282051282051277</v>
      </c>
      <c r="F36" s="534">
        <f t="shared" si="0"/>
        <v>0</v>
      </c>
      <c r="G36" s="76">
        <f t="shared" si="1"/>
        <v>0</v>
      </c>
    </row>
    <row r="37" spans="1:7" s="269" customFormat="1" ht="26.25" customHeight="1">
      <c r="A37" s="270"/>
      <c r="B37" s="280" t="s">
        <v>93</v>
      </c>
      <c r="C37" s="281">
        <f>'4. ECG-Matrix'!O17</f>
        <v>0</v>
      </c>
      <c r="D37" s="282" t="str">
        <f>'12.lan'!$D$214</f>
        <v>of</v>
      </c>
      <c r="E37" s="283">
        <f>'4. ECG-Matrix'!Q17</f>
        <v>51.282051282051277</v>
      </c>
      <c r="F37" s="534">
        <f t="shared" si="0"/>
        <v>0</v>
      </c>
      <c r="G37" s="76">
        <f t="shared" si="1"/>
        <v>0</v>
      </c>
    </row>
    <row r="38" spans="1:7" s="269" customFormat="1" ht="30" customHeight="1">
      <c r="A38" s="270"/>
      <c r="B38" s="285" t="str">
        <f>'12.lan'!D228</f>
        <v>TOTAL</v>
      </c>
      <c r="C38" s="286">
        <f>'3. Calc'!I4</f>
        <v>0</v>
      </c>
      <c r="D38" s="290" t="str">
        <f>'12.lan'!$D$214</f>
        <v>of</v>
      </c>
      <c r="E38" s="288">
        <f>'3. Calc'!J4</f>
        <v>1000</v>
      </c>
      <c r="F38" s="535">
        <f t="shared" si="0"/>
        <v>0</v>
      </c>
    </row>
    <row r="39" spans="1:7" s="269" customFormat="1" ht="14.1" customHeight="1">
      <c r="A39" s="270"/>
      <c r="B39" s="270"/>
      <c r="C39" s="270"/>
      <c r="D39" s="271"/>
      <c r="E39" s="270"/>
      <c r="F39" s="272"/>
    </row>
  </sheetData>
  <sheetProtection algorithmName="SHA-512" hashValue="qkR+hGcrxIvif0yBfvRRxtSBGIgBAvRowFheoAAE/KZGVIH3cS6rfCZJ2BlKsm+4jHjB3Tq7PeiVA7nWKCdoYg==" saltValue="nfDcNA+FazMkEvDJgD7iBQ==" spinCount="100000" sheet="1" objects="1" scenarios="1"/>
  <mergeCells count="5">
    <mergeCell ref="B2:F2"/>
    <mergeCell ref="B3:F4"/>
    <mergeCell ref="B15:F15"/>
    <mergeCell ref="B16:F16"/>
    <mergeCell ref="B17:F17"/>
  </mergeCells>
  <conditionalFormatting sqref="F18:F37">
    <cfRule type="cellIs" dxfId="12" priority="2" operator="lessThan">
      <formula>0</formula>
    </cfRule>
  </conditionalFormatting>
  <conditionalFormatting sqref="F38">
    <cfRule type="cellIs" dxfId="11" priority="1" operator="lessThan">
      <formula>0</formula>
    </cfRule>
  </conditionalFormatting>
  <pageMargins left="0.57986111111111116" right="0.77986111111111112" top="0.78749999999999998" bottom="0.78749999999999998" header="0.51180555555555551" footer="0.51180555555555551"/>
  <pageSetup paperSize="9" firstPageNumber="0"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5</vt:i4>
      </vt:variant>
    </vt:vector>
  </HeadingPairs>
  <TitlesOfParts>
    <vt:vector size="19" baseType="lpstr">
      <vt:lpstr>0. Intro</vt:lpstr>
      <vt:lpstr>1. General</vt:lpstr>
      <vt:lpstr>2. Company Facts</vt:lpstr>
      <vt:lpstr>3. Calc</vt:lpstr>
      <vt:lpstr>9. Weighting</vt:lpstr>
      <vt:lpstr>4. ECG-Matrix</vt:lpstr>
      <vt:lpstr>5. Values</vt:lpstr>
      <vt:lpstr>6. Stakeholder</vt:lpstr>
      <vt:lpstr>7. Topics</vt:lpstr>
      <vt:lpstr>8. Descr.Weighting</vt:lpstr>
      <vt:lpstr>10. Industry</vt:lpstr>
      <vt:lpstr>11.Region</vt:lpstr>
      <vt:lpstr>12.ppp data</vt:lpstr>
      <vt:lpstr>12.lan</vt:lpstr>
      <vt:lpstr>Branche</vt:lpstr>
      <vt:lpstr>Branchen</vt:lpstr>
      <vt:lpstr>CountryCodes</vt:lpstr>
      <vt:lpstr>JaNein</vt:lpstr>
      <vt:lpstr>Regionen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Usuario6</dc:creator>
  <cp:lastModifiedBy>Pedro Olazábal</cp:lastModifiedBy>
  <dcterms:created xsi:type="dcterms:W3CDTF">2018-07-24T07:18:55Z</dcterms:created>
  <dcterms:modified xsi:type="dcterms:W3CDTF">2018-08-18T06:02:09Z</dcterms:modified>
</cp:coreProperties>
</file>